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P:\Rahandusosakond\Eelarve\2025 EELARVE\SIM 2025\KK\"/>
    </mc:Choice>
  </mc:AlternateContent>
  <xr:revisionPtr revIDLastSave="0" documentId="13_ncr:1_{2881DCEF-6A78-406D-971D-8E3AD0EC8427}" xr6:coauthVersionLast="47" xr6:coauthVersionMax="47" xr10:uidLastSave="{00000000-0000-0000-0000-000000000000}"/>
  <bookViews>
    <workbookView xWindow="-110" yWindow="-110" windowWidth="19420" windowHeight="10300" xr2:uid="{00000000-000D-0000-FFFF-FFFF00000000}"/>
  </bookViews>
  <sheets>
    <sheet name="DTO" sheetId="1" r:id="rId1"/>
    <sheet name="EKO" sheetId="2" r:id="rId2"/>
    <sheet name="ELVO" sheetId="3" r:id="rId3"/>
    <sheet name="kantsler" sheetId="4" r:id="rId4"/>
    <sheet name="KO" sheetId="5" r:id="rId5"/>
    <sheet name="KSO" sheetId="6" r:id="rId6"/>
    <sheet name="KEA" sheetId="7" r:id="rId7"/>
    <sheet name="KVO" sheetId="8" r:id="rId8"/>
    <sheet name="PO" sheetId="10" r:id="rId9"/>
    <sheet name="PRO" sheetId="11" r:id="rId10"/>
    <sheet name="RHO" sheetId="12" r:id="rId11"/>
    <sheet name="RTO" sheetId="13" r:id="rId12"/>
    <sheet name="SAO" sheetId="14" r:id="rId13"/>
    <sheet name="SAK" sheetId="15" r:id="rId14"/>
    <sheet name="SJO" sheetId="16" r:id="rId15"/>
    <sheet name="SM" sheetId="17" r:id="rId16"/>
    <sheet name="STAO" sheetId="18" r:id="rId17"/>
    <sheet name="UKO" sheetId="19" r:id="rId18"/>
    <sheet name="VAK" sheetId="21" r:id="rId19"/>
    <sheet name="VHO" sheetId="22" r:id="rId20"/>
    <sheet name="VVO" sheetId="20" r:id="rId21"/>
    <sheet name="ÕO" sheetId="9" r:id="rId2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1" i="1" l="1"/>
  <c r="J11" i="22"/>
  <c r="I11" i="22"/>
  <c r="J9" i="9"/>
  <c r="K9" i="9"/>
  <c r="I9" i="9"/>
  <c r="J16" i="20"/>
  <c r="K16" i="20"/>
  <c r="I16" i="20"/>
  <c r="J12" i="22"/>
  <c r="K12" i="22"/>
  <c r="I12" i="22"/>
  <c r="J8" i="21"/>
  <c r="K8" i="21"/>
  <c r="I8" i="21"/>
  <c r="J27" i="19"/>
  <c r="K27" i="19"/>
  <c r="I27" i="19"/>
  <c r="J12" i="18"/>
  <c r="K12" i="18"/>
  <c r="I12" i="18"/>
  <c r="J7" i="17"/>
  <c r="K7" i="17"/>
  <c r="I7" i="17"/>
  <c r="J6" i="16"/>
  <c r="K6" i="16"/>
  <c r="I6" i="16"/>
  <c r="J6" i="15"/>
  <c r="K6" i="15"/>
  <c r="I6" i="15"/>
  <c r="J13" i="14"/>
  <c r="K13" i="14"/>
  <c r="I13" i="14"/>
  <c r="J12" i="13"/>
  <c r="K12" i="13"/>
  <c r="I12" i="13"/>
  <c r="J24" i="12"/>
  <c r="K24" i="12"/>
  <c r="I24" i="12"/>
  <c r="J9" i="11"/>
  <c r="K9" i="11"/>
  <c r="I9" i="11"/>
  <c r="J13" i="10"/>
  <c r="K13" i="10"/>
  <c r="I13" i="10"/>
  <c r="J8" i="8"/>
  <c r="K8" i="8"/>
  <c r="I8" i="8"/>
  <c r="J7" i="7" l="1"/>
  <c r="K7" i="7"/>
  <c r="I7" i="7"/>
  <c r="J10" i="6"/>
  <c r="K10" i="6"/>
  <c r="I10" i="6"/>
  <c r="J15" i="5"/>
  <c r="K15" i="5"/>
  <c r="I15" i="5"/>
  <c r="J7" i="4" l="1"/>
  <c r="K7" i="4"/>
  <c r="I7" i="4"/>
  <c r="J13" i="3"/>
  <c r="K13" i="3"/>
  <c r="I13" i="3"/>
  <c r="K15" i="2"/>
  <c r="I7" i="2"/>
  <c r="J16" i="2"/>
  <c r="K16" i="2"/>
  <c r="I16" i="2"/>
  <c r="J15" i="1" l="1"/>
  <c r="K15" i="1"/>
  <c r="I15" i="1"/>
</calcChain>
</file>

<file path=xl/sharedStrings.xml><?xml version="1.0" encoding="utf-8"?>
<sst xmlns="http://schemas.openxmlformats.org/spreadsheetml/2006/main" count="1904" uniqueCount="390">
  <si>
    <t>Nimetus</t>
  </si>
  <si>
    <t>Kulugrupp</t>
  </si>
  <si>
    <t>Eelarve liik ja objekt</t>
  </si>
  <si>
    <t>Eelarve projekt</t>
  </si>
  <si>
    <t>Grant</t>
  </si>
  <si>
    <t>Tegevusala</t>
  </si>
  <si>
    <t>Kuluüksus</t>
  </si>
  <si>
    <t>Muudatused</t>
  </si>
  <si>
    <t>Tööjõukulud</t>
  </si>
  <si>
    <t>välisvahendid</t>
  </si>
  <si>
    <t>500</t>
  </si>
  <si>
    <t>40</t>
  </si>
  <si>
    <t>1S10-RF21-01212SIM2</t>
  </si>
  <si>
    <t>03600</t>
  </si>
  <si>
    <t>KS100T0900</t>
  </si>
  <si>
    <t>Digipöörde teenuste juht SIMis</t>
  </si>
  <si>
    <t>IKT</t>
  </si>
  <si>
    <t>projekt</t>
  </si>
  <si>
    <t>5514</t>
  </si>
  <si>
    <t>20</t>
  </si>
  <si>
    <t>S10-DHS-HALDUS</t>
  </si>
  <si>
    <t/>
  </si>
  <si>
    <t>KS10009995</t>
  </si>
  <si>
    <t>1S10-RF21-01212RR5</t>
  </si>
  <si>
    <t>01600</t>
  </si>
  <si>
    <t>KS100R1400</t>
  </si>
  <si>
    <t>RR menetlustarkvara arendustööde projektijuhtimine (SIM)</t>
  </si>
  <si>
    <t>1S10-RF21-01212SIM</t>
  </si>
  <si>
    <t>KS100T1800</t>
  </si>
  <si>
    <t>Digipöörde projektijuhtimine SIMis</t>
  </si>
  <si>
    <t>Investeeringud IT</t>
  </si>
  <si>
    <t>15</t>
  </si>
  <si>
    <t>20IN002000</t>
  </si>
  <si>
    <t>S10-RS</t>
  </si>
  <si>
    <t>Muu admin kulu</t>
  </si>
  <si>
    <t>550099</t>
  </si>
  <si>
    <t>S10-ARHIIV</t>
  </si>
  <si>
    <t>tsentraalne</t>
  </si>
  <si>
    <t>550011</t>
  </si>
  <si>
    <t>Erisoodustused</t>
  </si>
  <si>
    <t>otsekulud</t>
  </si>
  <si>
    <t>505</t>
  </si>
  <si>
    <t>Info ja PR</t>
  </si>
  <si>
    <t>550060</t>
  </si>
  <si>
    <t>Arendus- ja uurimistööd</t>
  </si>
  <si>
    <t>5502</t>
  </si>
  <si>
    <t>20SR10A100</t>
  </si>
  <si>
    <t>S10-EITS</t>
  </si>
  <si>
    <t>Töötasu</t>
  </si>
  <si>
    <t>S10-PR-DTO</t>
  </si>
  <si>
    <t>Projektitoetus</t>
  </si>
  <si>
    <t>450</t>
  </si>
  <si>
    <t>41</t>
  </si>
  <si>
    <t>S1SCF-KI21-02332</t>
  </si>
  <si>
    <t>KS100S2200</t>
  </si>
  <si>
    <t>32</t>
  </si>
  <si>
    <t>40IN002000</t>
  </si>
  <si>
    <t>9S10-MU00-UCPM</t>
  </si>
  <si>
    <t>Auditeerimine</t>
  </si>
  <si>
    <t>550051</t>
  </si>
  <si>
    <t>9S10-RR20-03123VAPO</t>
  </si>
  <si>
    <t>Koolituskulud</t>
  </si>
  <si>
    <t>5504</t>
  </si>
  <si>
    <t>10702</t>
  </si>
  <si>
    <t>Tegevustoetused</t>
  </si>
  <si>
    <t>452</t>
  </si>
  <si>
    <t>20SR100042</t>
  </si>
  <si>
    <t>S10-RK-112</t>
  </si>
  <si>
    <t>S10-PR-EKO</t>
  </si>
  <si>
    <t>Lühiajalised lähetused</t>
  </si>
  <si>
    <t>55030</t>
  </si>
  <si>
    <t>Taksoteenused</t>
  </si>
  <si>
    <t>55130</t>
  </si>
  <si>
    <t>KS10009999</t>
  </si>
  <si>
    <t>Pikaajalised lähetused</t>
  </si>
  <si>
    <t>55031</t>
  </si>
  <si>
    <t>KS100T0610</t>
  </si>
  <si>
    <t>Tegevustoetus</t>
  </si>
  <si>
    <t>10SE100002</t>
  </si>
  <si>
    <t>IT Agentuuri töötajate käibemaksu hüvitis</t>
  </si>
  <si>
    <t>Esinduskulu</t>
  </si>
  <si>
    <t>550040</t>
  </si>
  <si>
    <t>S10-JK-ESINDUS</t>
  </si>
  <si>
    <t>Tõlge</t>
  </si>
  <si>
    <t>550003</t>
  </si>
  <si>
    <t>S10-TÕLK</t>
  </si>
  <si>
    <t>S10-ELVO-EKTL</t>
  </si>
  <si>
    <t>ATA Erisoodustused</t>
  </si>
  <si>
    <t>KS100T0600</t>
  </si>
  <si>
    <t>S10-PR-ELV</t>
  </si>
  <si>
    <t>2024.a eelarvejäägi ülekandmine</t>
  </si>
  <si>
    <t>S10-RES-MAJ-KAN</t>
  </si>
  <si>
    <t>KS100T0000</t>
  </si>
  <si>
    <t>S10-PR-JK</t>
  </si>
  <si>
    <t>S10-KO-SIM-AASTAPAEV</t>
  </si>
  <si>
    <t>S10-KO-SIM-VAARTPAEV</t>
  </si>
  <si>
    <t>S10-KO-MEEDIA</t>
  </si>
  <si>
    <t>S10-KO-MUU</t>
  </si>
  <si>
    <t>S10-KO-RIIK-VABARIIK</t>
  </si>
  <si>
    <t>S10-KO-BRIIF</t>
  </si>
  <si>
    <t>S10-KO-VEEB</t>
  </si>
  <si>
    <t>S10-KO-SIM-SKAPARIM</t>
  </si>
  <si>
    <t>KS100T0300</t>
  </si>
  <si>
    <t>S10-KO-SIM-ARVAMFEST</t>
  </si>
  <si>
    <t>S10-PR-KO</t>
  </si>
  <si>
    <t>1S10-SF21</t>
  </si>
  <si>
    <t>KS100S1100</t>
  </si>
  <si>
    <t>1S10-TA21-07121KOOS</t>
  </si>
  <si>
    <t>S10-PR-KKP</t>
  </si>
  <si>
    <t>S10-KO-SIM-VABATAHTL</t>
  </si>
  <si>
    <t>KS100S2000</t>
  </si>
  <si>
    <t>S10-PR-KEA</t>
  </si>
  <si>
    <t xml:space="preserve"> Digi- ja teabehaldusosakond</t>
  </si>
  <si>
    <t>Lisa 1</t>
  </si>
  <si>
    <t>Esialgne eelarve</t>
  </si>
  <si>
    <t>SIM annab SMITi eelarvesse 2025. a REDIS-e hooldus- ja tugiteenuseks 25 295 eurot.</t>
  </si>
  <si>
    <t xml:space="preserve">RS projekti eelarve muudatused: 1. 2024.aastast ülekantud vahendid; 2. 60 852 eurot suunati HK ja PÄA eelarvest asutustele soetatud seadmete kulude katteks. </t>
  </si>
  <si>
    <t>otsekulud (erisoodustusmaksudega maksustatavad kulud). Erisoodustuste eelarve suurendatakse vastavalt osakonna teenistujate arvule.</t>
  </si>
  <si>
    <t>Küberturbe tagamine. 2024.a kasutamata eelarve jääk kantakse 2025.a üle.</t>
  </si>
  <si>
    <t xml:space="preserve">Elanikkonnakaitse osakond </t>
  </si>
  <si>
    <t>Lisa 2</t>
  </si>
  <si>
    <t xml:space="preserve">Avalikud hoiatusteated eelistatud keeles. </t>
  </si>
  <si>
    <t xml:space="preserve">Avalikud hoiatusteated eelistatud keeles. RHO eelarvest valitsemisala reservist eraldatud omafinantseerimiseks 26 750 eurot. </t>
  </si>
  <si>
    <t>Kohalike omavalitsuste kriisivõimekuse suurendamine.  VV sihtotstarbelisest reservist eraldatud 750 tuh eurot.</t>
  </si>
  <si>
    <t xml:space="preserve">Osakonna otsekulud </t>
  </si>
  <si>
    <t>Tulemustasu</t>
  </si>
  <si>
    <t>Vabatahtlike portaali loomise tegevuskulud</t>
  </si>
  <si>
    <t>Päästevõimekuse suurendamine. Grandile on avatud eelarve.</t>
  </si>
  <si>
    <t>Eelarvekonto</t>
  </si>
  <si>
    <t>Euroopa Liidu ja välissuhete osakond</t>
  </si>
  <si>
    <t>Lisa 3</t>
  </si>
  <si>
    <t>ELVO erialadiplomaadi täiendavate kulude katteks suunatakse kantsleri eelarvest SIM reservist 6000 eurot ELVO pikaajaliste lähetuste eelarvesse.</t>
  </si>
  <si>
    <t>ELVO projekti S10-JK-ESINDUS eelarvesse valitsemisala reservist suunatakse 20 000 eurot seoses 19.–20. juunil Tallinnas ja Narvas toimunud Balti riikide, Soome, Rootsi, Poola ja Norra sisejulgeoleku eest vastutavate ministrite kohtumise korraldamisega.</t>
  </si>
  <si>
    <t>Eesti-Ukraina koostöö sh ka EKTL.</t>
  </si>
  <si>
    <t>Otsustatud kantsleri osakonnajuhatajate 2025.aasta fond on 10 000 eurot (brutosumma ilma tööandja maksudeta). Tulemustasufondi reservist suunatakse 1000 eurot kantsleri tulemustasufondi.</t>
  </si>
  <si>
    <t>Kantsler</t>
  </si>
  <si>
    <t>Lisa 4</t>
  </si>
  <si>
    <t>SIM jaotamata majandamiskulude reserv. Reservi muutus. 1. 2024.a kohustustest vaba eelarve jäägi kanti 2025.a SIM jaotamata reservi; 2. SIM üldnumbri teenindab HK, 9054 eurot on üle antud HK eelarvesse;  3. RHO eelarvesse suunatud 11 640 eurot KO tellitud käsundlepingu kulude katteks; 4. 21 600 eurot suunatud SKA eelarvesse keskastmejuhtide arenguprogrammi SIKA 2024.a koolituse alustanud täiendava grupi 2025.a kulude katteks; 5. 3052 eurot  - PRO eelarvesse IOM liikmemaksu tegelike kulude katteks; 6. 839 eurot - VHO tsentraalsete kuludesse (TEKO ala uuendamine); 7.Õigusaktide keeletoimetuse lepingu sõlmimiseks suunati 10 000 eurot ÕO eelarvesse; 8. Valitsemisala reservist suunatud SIM kantsleri reservi SIM eelarve vähendamise otsuse (RES 2025-2028) leevendamiseks 23 962 eurot; 9. Kantsleri eelarvest SIM jaotamata reservist suunatud KO projekti BRIIF eelarvesse KO projekti BRIIF eelarvesse 227 eurot (juunikuu mõttekoda); 10. ELVO erialadiplomaadi täiendavate kulude katteks suunatud ELVO pikaajaliste lähetuste eelarvesse 6 000 eurot;  11. RHO eelarvesse taksokuludeks suunatud 7 tuhat eurot; 12. 15 490 eurot RHO eelarvesse tööjõukulude TVLide kulude katteks.</t>
  </si>
  <si>
    <t xml:space="preserve">Aastalõpupeo kulud kokku </t>
  </si>
  <si>
    <t>505/55</t>
  </si>
  <si>
    <t>Vabariigi aastapäeva kulud kokku</t>
  </si>
  <si>
    <t>SIM veebi arendamine</t>
  </si>
  <si>
    <t>Arvamusfestival</t>
  </si>
  <si>
    <t>Väärtuste päev</t>
  </si>
  <si>
    <t>Briifing projekti kulud kokku</t>
  </si>
  <si>
    <t>Meediamonitoringu teenus</t>
  </si>
  <si>
    <t>Muud kommunikatsiooni projektid</t>
  </si>
  <si>
    <t>Osakonna otsekulud</t>
  </si>
  <si>
    <t>SIM 2024.a kasutamata jäänud vahenditest suunati KO 2025.a eelarvesse ministri, ministri nõunike jt pildistamise teenuse kulude katteks 1800 eurot.</t>
  </si>
  <si>
    <t>SIM väärtuste seminari ja väärtuste päeva korraladmine</t>
  </si>
  <si>
    <t>SKA parimate õppurite tunnustamise ürituse kulud</t>
  </si>
  <si>
    <t>Arvamusfestivalil osalemine</t>
  </si>
  <si>
    <t>SIM aastapäeva üritus</t>
  </si>
  <si>
    <t>1. RHO eelarvest valitsemisala reservist suunatud KO projekti BRIIF eelarvesse 49 000 eurot (leping kommunikatsiooniagentuuriga Meta Advisory – 30 tuhat eurot. Ida-Viru tasuliste meediapindadega jätkamine kuni 6 kuud 19 tuhat eurot); 2. Kantsleri eelarvest SIM jaotamata reservist suunati 227 eurot KO projekti BRIIF eelarvesse (juunikuu mõttekoda).</t>
  </si>
  <si>
    <t>Kommunikatsiooniosakond</t>
  </si>
  <si>
    <t>Lisa 5</t>
  </si>
  <si>
    <t>Avatud on välisvahendite tehnilise abi eelarve "Koosloome arengukiirendi".</t>
  </si>
  <si>
    <t xml:space="preserve">Noorte tööhõivevalmiduse toetamine. </t>
  </si>
  <si>
    <t xml:space="preserve">Korrakaitse ja süüteomenetluse osakond </t>
  </si>
  <si>
    <t>Lisa 6</t>
  </si>
  <si>
    <t>Kriisivalmiduse ja elanikkonnakaitse asekantsler</t>
  </si>
  <si>
    <t>Lisa 7</t>
  </si>
  <si>
    <t>Selgitused</t>
  </si>
  <si>
    <t>Muudetud eelarve</t>
  </si>
  <si>
    <t>KS100S2500</t>
  </si>
  <si>
    <t>S10-KRIIS-VALMIDUS</t>
  </si>
  <si>
    <t>S10-RK-124-K</t>
  </si>
  <si>
    <t>506</t>
  </si>
  <si>
    <t>S10-PR-KVO</t>
  </si>
  <si>
    <t>KS100T1200</t>
  </si>
  <si>
    <t>S10-KEELTOIM</t>
  </si>
  <si>
    <t>S10-PR-ÕO</t>
  </si>
  <si>
    <t>Jur.teenus</t>
  </si>
  <si>
    <t>550050</t>
  </si>
  <si>
    <t>Kohtukulud</t>
  </si>
  <si>
    <t>608</t>
  </si>
  <si>
    <t>KS100T0100</t>
  </si>
  <si>
    <t>KS10009996</t>
  </si>
  <si>
    <t>S10-SPORT</t>
  </si>
  <si>
    <t>S10-TERVIS</t>
  </si>
  <si>
    <t>S10-JUHT</t>
  </si>
  <si>
    <t>S10-KAAST</t>
  </si>
  <si>
    <t>S10-STEB</t>
  </si>
  <si>
    <t>Personaliteenus</t>
  </si>
  <si>
    <t>550052</t>
  </si>
  <si>
    <t>Spordikulud</t>
  </si>
  <si>
    <t>554030</t>
  </si>
  <si>
    <t>S10-PR-PO</t>
  </si>
  <si>
    <t>KS100S1300</t>
  </si>
  <si>
    <t>Liikmemaks</t>
  </si>
  <si>
    <t>20SE000003</t>
  </si>
  <si>
    <t>S10-ABIS-LIIKMEM</t>
  </si>
  <si>
    <t>S10-IOM-LIIKMEM</t>
  </si>
  <si>
    <t>Toetused</t>
  </si>
  <si>
    <t>S10-KEELEOPE</t>
  </si>
  <si>
    <t>Eesti keele keeleõppe korraldamine välismaalastele</t>
  </si>
  <si>
    <t>S10-PR-PRO</t>
  </si>
  <si>
    <t>KS100T1500</t>
  </si>
  <si>
    <t>S10-RK-124-T</t>
  </si>
  <si>
    <t>S10-PR-JK-TS</t>
  </si>
  <si>
    <t>S10-PR-MAKSUD</t>
  </si>
  <si>
    <t>S10-PR-RES</t>
  </si>
  <si>
    <t>S10-PR-RHO</t>
  </si>
  <si>
    <t>Maksud (osakondade erisoodustustelt)</t>
  </si>
  <si>
    <t>Tegevustoetus (Erakonnad)</t>
  </si>
  <si>
    <t>20SE100001</t>
  </si>
  <si>
    <t>08400</t>
  </si>
  <si>
    <t>Töötasu ja maksud</t>
  </si>
  <si>
    <t>Valitsemisala projekt</t>
  </si>
  <si>
    <t>S10-IN-valala-RES-ABIS</t>
  </si>
  <si>
    <t>S10-IN-valala-RES-MUU</t>
  </si>
  <si>
    <t>20IN003000</t>
  </si>
  <si>
    <t>S10-IN-valala-RES-Ranne</t>
  </si>
  <si>
    <t>Investeeringud muud</t>
  </si>
  <si>
    <t>20IN005000</t>
  </si>
  <si>
    <t>Investeeringud transportvara</t>
  </si>
  <si>
    <t>S10-IN-valala-RES-TR</t>
  </si>
  <si>
    <t>S10-IN-valala-RES-KRIT</t>
  </si>
  <si>
    <t>S10-IN-valala-RES-MUU-MAJ</t>
  </si>
  <si>
    <t>S10-OHT</t>
  </si>
  <si>
    <t>S10-valala-rande</t>
  </si>
  <si>
    <t>S10-RAHVR-KULU</t>
  </si>
  <si>
    <t>S10-VALIM</t>
  </si>
  <si>
    <t>S10-RTO-KONV</t>
  </si>
  <si>
    <t>S10-PR-RTO</t>
  </si>
  <si>
    <t>9S10-RR20-03123RRF</t>
  </si>
  <si>
    <t>RRF tehniline abi, programm "Nutikas rahvastikuarvestus"</t>
  </si>
  <si>
    <t>KS100T0400</t>
  </si>
  <si>
    <t>S10-PR-SAO</t>
  </si>
  <si>
    <t>9S10-AM21-TA-SAO</t>
  </si>
  <si>
    <t>9S10-BM21-TA-SAO</t>
  </si>
  <si>
    <t>SAO osalus tehniline abi Piirihalduse ja viisapoliitika</t>
  </si>
  <si>
    <t>9S10-IS21-TA-SAO</t>
  </si>
  <si>
    <t>SAO osalus Sisejulgeolekufondi politseikoostöö ja kriisiohje rahastamisvahend</t>
  </si>
  <si>
    <t>SAO osalus tehniline abi Varjupaiga-, rände- ja integratsioonifond 2021-2027</t>
  </si>
  <si>
    <t>KS100S1000</t>
  </si>
  <si>
    <t>S10-PR-SAK</t>
  </si>
  <si>
    <t>KS100S3500</t>
  </si>
  <si>
    <t>S10-PR-SJO</t>
  </si>
  <si>
    <t>KS100S0000</t>
  </si>
  <si>
    <t>S10-RES-MAJ-SM</t>
  </si>
  <si>
    <t>reserv</t>
  </si>
  <si>
    <t>S10-PR-SM</t>
  </si>
  <si>
    <t>S10-TEADUS</t>
  </si>
  <si>
    <t>S10-STAK</t>
  </si>
  <si>
    <t>S10-PLANPRO</t>
  </si>
  <si>
    <t>Õppetoetus</t>
  </si>
  <si>
    <t>S10-STIPENDIUM</t>
  </si>
  <si>
    <t>S10-PR-STO</t>
  </si>
  <si>
    <t>KS100R1700</t>
  </si>
  <si>
    <t>Õppevahendid</t>
  </si>
  <si>
    <t>5524</t>
  </si>
  <si>
    <t>S10-K-SYNDMUS</t>
  </si>
  <si>
    <t>S10-K-KYSK</t>
  </si>
  <si>
    <t>S10-K-KYSK-AREND</t>
  </si>
  <si>
    <t>S10-K-KYSK-INNO</t>
  </si>
  <si>
    <t>S10-K-KYSK-KOGUK</t>
  </si>
  <si>
    <t>S10-K-KYSK-VABAYH</t>
  </si>
  <si>
    <t>S10-K-STRAT</t>
  </si>
  <si>
    <t>S10-K-USK-DIASP</t>
  </si>
  <si>
    <t>S10-K-USK-EKN</t>
  </si>
  <si>
    <t>S10-K-USK-MUUD</t>
  </si>
  <si>
    <t>S10-K-KYSK-HALDUS</t>
  </si>
  <si>
    <t>S10-K-STRAT-KODU</t>
  </si>
  <si>
    <t>STRAT projekti sisemised muudatused, detailsemalt kirjeldamine</t>
  </si>
  <si>
    <t>S10-K-INNO</t>
  </si>
  <si>
    <t>S10-PR-UKO</t>
  </si>
  <si>
    <t>6S10-SH00-01132</t>
  </si>
  <si>
    <t>Eesti-Sveitsi koostööprogramm</t>
  </si>
  <si>
    <t>S1SSF-RT21-04772</t>
  </si>
  <si>
    <t>Kodanikuühiskonna mõju suurendamine ja arengu toetamine</t>
  </si>
  <si>
    <t>S6SSH-RT00-01133</t>
  </si>
  <si>
    <t>Kodanikuühiskonna tugevdamine sotsiaalse innovatsiooni edendamise teel</t>
  </si>
  <si>
    <t>KS100S3600</t>
  </si>
  <si>
    <t>9S10-BM21-TA-VVO</t>
  </si>
  <si>
    <t>1S10-TA21-07121</t>
  </si>
  <si>
    <t>uue perioodi tehniline abi</t>
  </si>
  <si>
    <t>9S10-AM21-TA-VVO</t>
  </si>
  <si>
    <t>VVO osalus tehniline abi Varjupaiga-, rände- ja integratsioonifond 2021-2027</t>
  </si>
  <si>
    <t>VVO osalus tehniline abi Piirihalduse ja viisapoliitika</t>
  </si>
  <si>
    <t>9S10-IS21-TA-VVO</t>
  </si>
  <si>
    <t>VVO osalus Sisejulgeolekufondi politseikoostöö ja kriisiohje rahastamisvahend</t>
  </si>
  <si>
    <t>S9SAM-SI21</t>
  </si>
  <si>
    <t>20SR100012</t>
  </si>
  <si>
    <t>S9SBM-SI21</t>
  </si>
  <si>
    <t>03100</t>
  </si>
  <si>
    <t>Maismaapiiri patrullivõimekuse tõstmine</t>
  </si>
  <si>
    <t>S9SIS-SI21</t>
  </si>
  <si>
    <t>Teabevahetuse tõhustamine ja hõlbustamine</t>
  </si>
  <si>
    <t>KS100T1000</t>
  </si>
  <si>
    <t>S10-PR-VAK</t>
  </si>
  <si>
    <t>KS10009997</t>
  </si>
  <si>
    <t>KS100T1700</t>
  </si>
  <si>
    <t>S10-RK-022</t>
  </si>
  <si>
    <t>20SE000028</t>
  </si>
  <si>
    <t>S10-RKAS-UUR</t>
  </si>
  <si>
    <t>S10-IN-TRV</t>
  </si>
  <si>
    <t>Kinnistute kulud</t>
  </si>
  <si>
    <t>5511</t>
  </si>
  <si>
    <t>S10-KIN-KOR</t>
  </si>
  <si>
    <t>Kinnistute kulud (RKAS)</t>
  </si>
  <si>
    <t>S10-PR-VHO</t>
  </si>
  <si>
    <t>Trükised</t>
  </si>
  <si>
    <t>550001</t>
  </si>
  <si>
    <t>S10-KO-TRYKIS-PERIOD</t>
  </si>
  <si>
    <t>Tegevuskulud</t>
  </si>
  <si>
    <t>50/55</t>
  </si>
  <si>
    <t>S10-KOOL</t>
  </si>
  <si>
    <t>S10-PERSONAL</t>
  </si>
  <si>
    <t>50/55/45</t>
  </si>
  <si>
    <t>Keelelise toimetamise tellimise lepingu mahu suurendamine, kantsleri eelarvest SIM jaotamata majandamiskulude reservist suunatakse 10 000 eurot ÕO projekti S10-KEELTOIM eelarvesse.</t>
  </si>
  <si>
    <t>Kriisivalmiduse osakond</t>
  </si>
  <si>
    <t>Lisa 8</t>
  </si>
  <si>
    <t>Personaliosakond</t>
  </si>
  <si>
    <t>Lisa 9</t>
  </si>
  <si>
    <t>Piirivalve- ja rändeosakond</t>
  </si>
  <si>
    <t>Lisa 10</t>
  </si>
  <si>
    <t>Rahandusosakond</t>
  </si>
  <si>
    <t>Lisa 11</t>
  </si>
  <si>
    <t>Rahvastiku toimingute osakond</t>
  </si>
  <si>
    <t>Lisa 12</t>
  </si>
  <si>
    <t>Siseauditi osakond</t>
  </si>
  <si>
    <t>Lisa 13</t>
  </si>
  <si>
    <t>Sisejulgeoleku asekantsler</t>
  </si>
  <si>
    <t>Lisa 14</t>
  </si>
  <si>
    <t>Sisejulgeoleku osakond</t>
  </si>
  <si>
    <t>Lisa 15</t>
  </si>
  <si>
    <t>Siseminister</t>
  </si>
  <si>
    <t>Lisa 16</t>
  </si>
  <si>
    <t>Strateegia- ja arendusosakond</t>
  </si>
  <si>
    <t>Lisa 17</t>
  </si>
  <si>
    <t>Usuasjade ja kodanikuühiskonna osakond</t>
  </si>
  <si>
    <t>Lisa 18</t>
  </si>
  <si>
    <t>Varade asekantsler</t>
  </si>
  <si>
    <t>Lisa 19</t>
  </si>
  <si>
    <t>Varahaldusosakond</t>
  </si>
  <si>
    <t>Lisa 20</t>
  </si>
  <si>
    <t>Välisvahendite osakond</t>
  </si>
  <si>
    <t>Lisa 21</t>
  </si>
  <si>
    <t>Õigusosakond</t>
  </si>
  <si>
    <t>Lisa 22</t>
  </si>
  <si>
    <t>Valitsemisala reservist suunati KVO eelarvesse õppuste (SiM kriisistaabi õppus, sõjamäng, DELA2025) korraldamiseks 2100 eurot.</t>
  </si>
  <si>
    <t>Riigi kriisiõppus/kompleksõppus. SIM poolt korraldatavate õppuste eelarvesse VV sihtotstarbelisest reservist eraldatud vahendid. 2025.a õppuse ettevalmistamiseks ning  2026.a õppuse kuludeks suunati 35 tuh eurot.</t>
  </si>
  <si>
    <t>SKA eelarvesse karjäärikeskuse eelarve.</t>
  </si>
  <si>
    <t>Erinevate tasemete juhtidele suunatud arendusprogrammid.</t>
  </si>
  <si>
    <t>Stebby kulud</t>
  </si>
  <si>
    <t xml:space="preserve">Biomeetria instituudi liikemaks (ABIS) </t>
  </si>
  <si>
    <t>Rahvusvaheline Migratsiooniorganisatsioon (IOM) liikmemaks. 3052 eurot suunatakse kantsleri reservist PRO eelarvesse IOM liikmemaksu tegelike kulude katteks.</t>
  </si>
  <si>
    <t>RTO korraldatav igaaastane kahepäevane konverents</t>
  </si>
  <si>
    <t>RRF tehniline abi, programm "Nutikas rahvastikuarvestus". Eelarve on SMITile üle antud.</t>
  </si>
  <si>
    <t>otsekulud (erisoodustusmaksudega maksustatavad kulud)</t>
  </si>
  <si>
    <t xml:space="preserve">otsekulud (esinduskulud) </t>
  </si>
  <si>
    <t xml:space="preserve">Tulemustasu </t>
  </si>
  <si>
    <t xml:space="preserve">42 636 eurot kantakse 2024.a eelarvest SIM 2025.a projekti eelarvesse. 1800 eurot suunati PÄA eelarvest ning 38 808 eurot suunati PPA eelarvest projekti tegevusteks.  60 832 eurot suunati RHO eelarvest valitsemisala reservist esimese kvartali tegevuskulude katteks.  </t>
  </si>
  <si>
    <t>Teadus-, arendus- ja innovatsioontegevus. Muudatused: 1. 268 303 eurot kantakse 2024.a eelarvest SIM 2025.a projekti eelarvesse; 2. 78 674 on SKAle üle antud 1,5 teaduri ametikoha palgakuludeks; 3.  PPA eelarvesse üle antud 88 888 eurot 2025 uuringu „Turvalise ruumiloome teadus- ja tõenduspõhise maailmapraktika analüüs ning rakendamissoovitused ja juhendmaterjal“ läbi viimiseks; 4. PPA eelarvesse 29 899 eurot, et teha õigusteaduslik analüüs „Tehisintellekti kasutamine võitluses kuritegevusega sotsiaalmeedia- ja suhtlusplatvormidel“; 5. PäA eelarvesse „Keelemudeli arendamine päästetööde andmete analüüsiks ja aruandluseks“ 18 700 eurot.</t>
  </si>
  <si>
    <t xml:space="preserve">Kodanikuühiskonna strateegilised partnerid. RHO eelarvest valitsemisala reservist suunatakse UKO eelarvesse: 1. Projekt „Hakkab looma 2050“, Rohetiiger SAle 20 000 eurot; 2. SA Valga Isamaalise kasvatuse Püsiekspositsioon-Valga sõjamuuseumile tegevustoetuse erladamiseks 30 000 eurot; 3. 96 548 eurot kantakse 2024.a eelarvest 2025.a projekti eelarvesse; 4. 70 000 eurot suunati sama projekti alamelemendi S10-K-STRAT-KODU eelarvesse. </t>
  </si>
  <si>
    <t>Vabatahtluse tunnustamine jm kodanikuühiskonna valdkonna sündmused.</t>
  </si>
  <si>
    <t>Innovatsioonifondi tegevused viiakse ellu KÜSK SA kaudu, eelarve suunatud S10-K-KÜSK projekti.</t>
  </si>
  <si>
    <t xml:space="preserve">Kodanikuühiskonna Sihtkapital SA (KÜSK) toetus. 342 981 eurot kanti 2024.a eelarvest  2025.a projekti eelarvesse, projekti eelarve jagati sama projekti alamelementideks. </t>
  </si>
  <si>
    <t>S10-K-KYSK projekti sisemised muudatused</t>
  </si>
  <si>
    <t xml:space="preserve">Usuliste ühenduste tegevuse toetamine. Narva Aleksandri kiriku 2024. aasta kommunaalkulude katmiseks suunatakse 7918 eurot RHO eelarvest projektist S10-IN-valala-RES-MUU-MAJ. </t>
  </si>
  <si>
    <t>Eestikeelsete jumalateenistuste läbiviimiseks eestlaste kogudustes välismaal.</t>
  </si>
  <si>
    <t xml:space="preserve">Eesti Kirikute Nõukogu tegevuse toetamine. </t>
  </si>
  <si>
    <t>Tulemustasu 14 100 eurot. 2500 eurot suunatakse tulemustasu reservist VAK tulemustasufondi (RHO osakonnajuhataja tulemustasu).</t>
  </si>
  <si>
    <t>Tsentraalsed kulud. Muudatused: 1. 12 000 eurot sidekulude eelarve suunatakse DTO eelarvest VHO eelarvesse; 2. 2 000 eurot on kantud 2024.a eelarvest 2025.a VHO eelarvesse massaazitooli soetamiseks; 3. 839 eurot suunati kantsleri eelarvest SIM reservist VHO tsentraalsete kuludesse (TEKO ala uuendamine).</t>
  </si>
  <si>
    <t>12 000 eurot sidekulude eelarve suunatakse DTO eelarvest VHO eelarvesse.</t>
  </si>
  <si>
    <t>Posti- ja sidekulud</t>
  </si>
  <si>
    <t xml:space="preserve">Korralise remondi kulud </t>
  </si>
  <si>
    <t>Perioodilised väljaanded</t>
  </si>
  <si>
    <t>RKAS sh SIM Lai ja Pikk tn, Rakvere ja Kärdla üürikulud</t>
  </si>
  <si>
    <t>Tulemustasu 14 850 eurot. 620 eurot tagastati tulemustasu reservi VHO tulemustasufondist (rahastamisallika muutmine varude nõunik).</t>
  </si>
  <si>
    <t>SIM valitsemisala transportvara investeeringute eelarvest (RHO) suunati SIM transportvara investeeringuteks 50 000 eurot.</t>
  </si>
  <si>
    <t>Laovõimekuse tõstmine hübriidohtudega paremaks toimetulekuks VV sihtotstarbelisest reservist eraldatud 66 000 eurot.</t>
  </si>
  <si>
    <t>VV reservist saadud BMVI fondile kaasfinantseerimine</t>
  </si>
  <si>
    <t>Tulemustasufondi reservist suunatakse 1000 eurot kantsleri ning 2500 VAK tulemustasufondi; 620 eurot tagastatakse reservi VHO tulemustasufondist (rahastamisallika muutmine varude nõunik).</t>
  </si>
  <si>
    <t>Kantsleri eelarvest SIM jaotamata reservist suunatakse RHO eelarvesse taksokuludeks 7 tuhat eurot.</t>
  </si>
  <si>
    <t xml:space="preserve">KRIT kohustustest vaba reserv. 37 252 eurot kantakse 2024.a eelarvest SIM 2025.a eelarvesse. </t>
  </si>
  <si>
    <t>Ohuteavitussüsteemi loomise (äritellimuse) ja teenuse juhtimise kulud. 57 011 eurot kantakse 2024.a eelarvest.</t>
  </si>
  <si>
    <t xml:space="preserve">VV sihtotstarbelisest reservist ABISe ülalpidamiseks planeeritud vahendid valitsemisala eelarvesse. </t>
  </si>
  <si>
    <r>
      <t>Valitsemisala tegevuskulude reservi muudatused:1. Eesti Kirikute Nõukogu tegevuse toetamine. Narva Aleksandri kiriku 2024 aasta kommunaalkulude katmiseks suunatakse 7918 eurot RHO eelarvest UAO eelarvesse projekti "Eesti Kirikute Nõukogu tegevuse toetamine."; 2. 26 750 eurot RHO eelarvest valitsemisala reservist eraldatud EKO eelarvesse "Avalikud hoiatusteated eelistatud keeles" omafinantseerimiseks; 3. 879 419 eurot kantakse 2024.a eelarvest 2025.a eelarvesse; 4. KO projekti BRIIF: Leping kommunikatsiooniagentuuriga Meta Advisory – summas 30 tuhat eurot. Ida-Viru tasuliste meediapindadega jätkamine kuni 6 kuud summas 19 tuhat eurot; 5. 24 370 eurot SKA eelarvesse juhtide arengupäeva HÜPE kulude katteks (22 370 eurot) ning 2000 eurot Paikuse vilistlaste kokkutuleku tarbeks; 6. PlanPro tarbeks broneeritud 42 832 eurot eraldati STAO 2025. a eelarvesse; 7. 20 000 eurot projekti „Hakkab looma 2050“ elluviimiseks Rohetiiger SAle ning 30 000 eurot Valga IKPE toetuste eraldamiseks suunati UKO eelarvesse; 8. SKA eelarvesse 23 001 eurot (karjäärikeskuse eelarve); 9. 60 852 eurot tehnilisest vajadusest lähtuvalt suunati reservi majandmiskulude eelarvesse reservi IT investeeringute eelarvest; 10. KVO eelarvesse õppuste (SiM kriisistaabi õppus, sõjamäng, DELA2025) korraldamiseks 2100 eurot; 11.</t>
    </r>
    <r>
      <rPr>
        <sz val="10"/>
        <color theme="1"/>
        <rFont val="Calibri"/>
        <family val="2"/>
        <scheme val="minor"/>
      </rPr>
      <t xml:space="preserve"> </t>
    </r>
    <r>
      <rPr>
        <sz val="10"/>
        <color theme="3"/>
        <rFont val="Calibri"/>
        <family val="2"/>
        <charset val="186"/>
        <scheme val="minor"/>
      </rPr>
      <t>ELVO projekti S10-JK-ESINDUS eelarvesse valitsemisala reservist suunatakse 20 000 eurot seoses 19.–20. juunil Tallinnas ja Narvas toimunud Balti riikide, Soome, Rootsi, Poola ja Norra sisejulgeoleku eest vastutavate ministrite kohtumise korraldamisega</t>
    </r>
    <r>
      <rPr>
        <sz val="10"/>
        <color theme="1"/>
        <rFont val="Calibri"/>
        <family val="2"/>
        <scheme val="minor"/>
      </rPr>
      <t>; 12.Vastavalt 13.03.2025 eelarve- ja arenduskomitee otsusele suunatakse valitsemisala reservist SMITile 159 263 eurot (SKA toomine SMITi võrku); 13. SIM annab SMITi 2025. a tööjõukulude eelarvesse 7 359 eurot (VAPO projekti vajadused); 14. 20 tuh eurot suunatakse RHO eelarvesse SIM palgafondi (KVO õigusnõunik); 15. Valitsemisala reservist SIM kantsleri reservi SIM eelarve vähendamise otsuse (RES 2025-2028) leevendamiseks 23 962 eurot; 16. Valitsemisala reservist suunatakse SKA eelarvesse 279 tuh eurot (Moodle õpikeskkond, Karjäärinõustamise- ja värbamisteenuse arendamine Siseturvalisuse karjäärikeskuses jt).</t>
    </r>
  </si>
  <si>
    <t xml:space="preserve">Muude investeeringute reserv. Reservi muutused: 2024.a eelarve kasutamata jääk kanti 2025.a eelarvesse üle. PlanPro tarbeks broneeritud 18 000 eurot eraldati STAO 2025. a eelarvesse. </t>
  </si>
  <si>
    <t>Muude investeeringute reserv.</t>
  </si>
  <si>
    <t>Transportvara reserv. Transportvara eelarve muudatus vastavalt SIM 20.12.2024 nr 7-1/429-1 kirjale (SKA 150 tuh eurot, SMIT 50 tuh eurot, SIM 50 tuh eurot).</t>
  </si>
  <si>
    <t>Rändemenetluse reservi 2024.a kasutamata eelarve jääk kantakse 2025.a üle</t>
  </si>
  <si>
    <t>20/43</t>
  </si>
  <si>
    <t xml:space="preserve">osakondade erisoodustuse maksud aasta kulu on 67 708 eurot. </t>
  </si>
  <si>
    <t xml:space="preserve">SIM üldised tööjõukulud. Eelarve muudatused: 1. 337 437 eurot kantakse 2024.a eelarvest SIM2025.a tööjõukuludeks; 2. Kantsleri eelarvest jaotamata reservist suunatud SIM töötasu eelarvesse 11 640 eurot KO tellitud käsundlepingu kulude katteks; 3. 450 000 eurot eraldatud tulemustasufondi; 4. 101 570 eurot eraldati SKA eelarvesse (karjäärikeskuse eelarve); 5. 20 tuh eurot suunati valitsemisala reservist projekti S10-IN-valala-RES-MUU-MAJ eelarvest RHO eelarvesse SIM palgafondi (KVO õigusnõunik); 6. Kantsleri eelarvest SIM jaotamata reservist suunati RHO eelarvesse tööjõukuludeks 15 490 eurot (otsustatud TVLide kulue katteks); 7. Laekus riigikantselei eelarvest SNE palagakulude hüvitis 15000, liik 43. </t>
  </si>
  <si>
    <t>Tsentraalsed preemiad. Tulemustasufondi arvestuse põhimõtete ühtlustamisega seoses suunati tsentraalsete preemiate eelarvest (S10-PR-JK-TS) 7 094 eurot tulemustasu maksude eelarvesse projekti S10-PR-MAKSUD.</t>
  </si>
  <si>
    <t>Tulemustasude maksudeks eelarve planeeritud eraldi reale. Tulemustasufondi suunati algselt  113 677 eurot. Tulemustasufondi arvestuse põhimõtete ühtlustamisega seoses suunati tsentraalsete preemiate eelarvest (S10-PR-JK-TS) 7 094 eurot tulemustasu maksude eelarvesse projekti S10-PR-MAKSUD.</t>
  </si>
  <si>
    <t>Riigi kriisiõppus/kompleksõppus. VV sihtotstarbelisest reservist eraldatud vahendid (KVO kahe teenistujate palgakulud).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</si>
</sst>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0"/>
      <name val="Calibri"/>
      <family val="2"/>
      <charset val="186"/>
      <scheme val="minor"/>
    </font>
    <font>
      <b/>
      <sz val="10"/>
      <color theme="1"/>
      <name val="Calibri"/>
      <family val="2"/>
      <scheme val="minor"/>
    </font>
    <font>
      <sz val="10"/>
      <color theme="1"/>
      <name val="Calibri"/>
      <family val="2"/>
      <scheme val="minor"/>
    </font>
    <font>
      <sz val="10"/>
      <name val="Calibri"/>
      <family val="2"/>
      <scheme val="minor"/>
    </font>
    <font>
      <b/>
      <sz val="10"/>
      <color theme="1"/>
      <name val="Calibri"/>
      <family val="2"/>
      <charset val="186"/>
      <scheme val="minor"/>
    </font>
    <font>
      <sz val="10"/>
      <color theme="1"/>
      <name val="Calibri"/>
      <family val="2"/>
      <charset val="186"/>
      <scheme val="minor"/>
    </font>
    <font>
      <sz val="10"/>
      <color rgb="FFFF0000"/>
      <name val="Calibri"/>
      <family val="2"/>
      <scheme val="minor"/>
    </font>
    <font>
      <sz val="10"/>
      <color theme="3"/>
      <name val="Calibri"/>
      <family val="2"/>
      <charset val="186"/>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0" borderId="2" xfId="0" applyFont="1" applyBorder="1" applyAlignment="1">
      <alignment horizontal="left" vertical="top" wrapText="1"/>
    </xf>
    <xf numFmtId="0" fontId="2" fillId="0" borderId="0" xfId="0" applyFont="1"/>
    <xf numFmtId="0" fontId="3" fillId="0" borderId="0" xfId="0" applyFont="1"/>
    <xf numFmtId="3" fontId="3" fillId="0" borderId="0" xfId="0" applyNumberFormat="1" applyFont="1"/>
    <xf numFmtId="0" fontId="3" fillId="0" borderId="0" xfId="0" applyFont="1" applyAlignment="1">
      <alignment wrapText="1"/>
    </xf>
    <xf numFmtId="0" fontId="4" fillId="0" borderId="2" xfId="0" applyFont="1" applyBorder="1" applyAlignment="1">
      <alignment horizontal="left" vertical="top" wrapText="1"/>
    </xf>
    <xf numFmtId="0" fontId="3" fillId="0" borderId="2" xfId="0" applyFont="1" applyBorder="1" applyAlignment="1">
      <alignment horizontal="center" vertical="center"/>
    </xf>
    <xf numFmtId="0" fontId="3" fillId="0" borderId="2" xfId="0" applyFont="1" applyBorder="1"/>
    <xf numFmtId="3" fontId="3" fillId="0" borderId="2" xfId="0" applyNumberFormat="1" applyFont="1" applyBorder="1"/>
    <xf numFmtId="0" fontId="3" fillId="0" borderId="2" xfId="0" applyFont="1" applyBorder="1" applyAlignment="1">
      <alignment wrapText="1"/>
    </xf>
    <xf numFmtId="0" fontId="3" fillId="0" borderId="2" xfId="0" applyFont="1" applyBorder="1" applyAlignment="1">
      <alignment horizontal="left" vertical="top" wrapText="1"/>
    </xf>
    <xf numFmtId="0" fontId="3" fillId="0" borderId="2" xfId="0" applyFont="1" applyBorder="1" applyAlignment="1">
      <alignment horizontal="center" vertical="center" wrapText="1"/>
    </xf>
    <xf numFmtId="0" fontId="3" fillId="0" borderId="0" xfId="0" applyFont="1" applyAlignment="1">
      <alignment horizontal="left" vertical="top" wrapText="1"/>
    </xf>
    <xf numFmtId="0" fontId="5" fillId="0" borderId="0" xfId="0" applyFont="1" applyAlignment="1">
      <alignment horizontal="left" vertical="top" wrapText="1"/>
    </xf>
    <xf numFmtId="0" fontId="5" fillId="0" borderId="0" xfId="0" applyFont="1"/>
    <xf numFmtId="0" fontId="5" fillId="0" borderId="0" xfId="0" applyFont="1" applyAlignment="1">
      <alignment wrapText="1"/>
    </xf>
    <xf numFmtId="3" fontId="3" fillId="0" borderId="1" xfId="0" applyNumberFormat="1" applyFont="1" applyBorder="1"/>
    <xf numFmtId="49" fontId="1" fillId="0" borderId="2" xfId="0" applyNumberFormat="1" applyFont="1" applyBorder="1" applyAlignment="1">
      <alignment horizontal="left" vertical="top" wrapText="1"/>
    </xf>
    <xf numFmtId="0" fontId="1" fillId="2" borderId="2" xfId="0" applyFont="1" applyFill="1" applyBorder="1" applyAlignment="1">
      <alignment horizontal="left" vertical="top" wrapText="1"/>
    </xf>
    <xf numFmtId="0" fontId="6" fillId="0" borderId="2" xfId="0" applyFont="1" applyBorder="1"/>
    <xf numFmtId="0" fontId="1" fillId="0" borderId="2" xfId="0" applyFont="1" applyBorder="1" applyAlignment="1">
      <alignment wrapText="1"/>
    </xf>
    <xf numFmtId="0" fontId="4" fillId="0" borderId="2" xfId="0" applyFont="1" applyBorder="1" applyAlignment="1">
      <alignment vertical="top" wrapText="1"/>
    </xf>
    <xf numFmtId="0" fontId="4" fillId="0" borderId="2" xfId="0" applyFont="1" applyBorder="1" applyAlignment="1">
      <alignment wrapText="1"/>
    </xf>
    <xf numFmtId="0" fontId="4" fillId="0" borderId="2" xfId="0" applyFont="1" applyBorder="1"/>
    <xf numFmtId="0" fontId="3" fillId="0" borderId="0" xfId="0" applyFont="1" applyAlignment="1">
      <alignment horizontal="center" vertical="center" wrapText="1"/>
    </xf>
    <xf numFmtId="0" fontId="3" fillId="0" borderId="0" xfId="0" applyFont="1" applyAlignment="1">
      <alignment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xf numFmtId="0" fontId="3" fillId="0" borderId="8" xfId="0" applyFont="1" applyBorder="1"/>
    <xf numFmtId="0" fontId="3" fillId="0" borderId="9" xfId="0" applyFont="1" applyBorder="1"/>
    <xf numFmtId="3" fontId="3" fillId="0" borderId="9" xfId="0" applyNumberFormat="1" applyFont="1" applyBorder="1"/>
    <xf numFmtId="0" fontId="3" fillId="0" borderId="10" xfId="0" applyFont="1" applyBorder="1" applyAlignment="1">
      <alignment wrapText="1"/>
    </xf>
    <xf numFmtId="0" fontId="3" fillId="0" borderId="2" xfId="0" applyFont="1" applyFill="1" applyBorder="1"/>
    <xf numFmtId="3" fontId="3" fillId="0" borderId="2" xfId="0" applyNumberFormat="1" applyFont="1" applyFill="1" applyBorder="1"/>
    <xf numFmtId="0" fontId="3" fillId="0" borderId="7"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7" xfId="0" applyFont="1" applyBorder="1" applyAlignment="1">
      <alignment horizontal="left" vertical="top" wrapText="1"/>
    </xf>
    <xf numFmtId="0" fontId="3" fillId="0" borderId="10" xfId="0" applyFont="1" applyBorder="1" applyAlignment="1">
      <alignment horizontal="left" vertical="top" wrapText="1"/>
    </xf>
    <xf numFmtId="0" fontId="3" fillId="0" borderId="6" xfId="0" applyFont="1" applyBorder="1" applyAlignment="1">
      <alignment wrapText="1"/>
    </xf>
    <xf numFmtId="0" fontId="3" fillId="0" borderId="8" xfId="0" applyFont="1" applyBorder="1" applyAlignment="1">
      <alignment wrapText="1"/>
    </xf>
    <xf numFmtId="0" fontId="3" fillId="0" borderId="10" xfId="0" applyFont="1" applyBorder="1" applyAlignment="1">
      <alignment vertical="top" wrapText="1"/>
    </xf>
    <xf numFmtId="0" fontId="3" fillId="0" borderId="0" xfId="0" applyFont="1" applyFill="1"/>
    <xf numFmtId="3" fontId="3" fillId="0" borderId="0" xfId="0" applyNumberFormat="1" applyFont="1" applyFill="1"/>
    <xf numFmtId="0" fontId="5" fillId="0" borderId="0" xfId="0" applyFont="1" applyAlignment="1">
      <alignment vertical="top" wrapText="1"/>
    </xf>
    <xf numFmtId="0" fontId="1" fillId="0" borderId="11" xfId="0" applyFont="1" applyBorder="1" applyAlignment="1">
      <alignment horizontal="left" vertical="top" wrapText="1"/>
    </xf>
    <xf numFmtId="0" fontId="1" fillId="0" borderId="12" xfId="0" applyFont="1" applyBorder="1" applyAlignment="1">
      <alignment vertical="top" wrapText="1"/>
    </xf>
    <xf numFmtId="0" fontId="3" fillId="0" borderId="0" xfId="0" applyFont="1" applyFill="1" applyAlignment="1">
      <alignment horizontal="left" vertical="top" wrapText="1"/>
    </xf>
    <xf numFmtId="0" fontId="7" fillId="0" borderId="0" xfId="0" applyFont="1" applyFill="1"/>
    <xf numFmtId="0" fontId="4" fillId="0" borderId="2" xfId="0" applyFont="1" applyFill="1" applyBorder="1"/>
    <xf numFmtId="3" fontId="4" fillId="0" borderId="0" xfId="0" applyNumberFormat="1" applyFont="1" applyFill="1"/>
    <xf numFmtId="0" fontId="4" fillId="0" borderId="0" xfId="0" applyFont="1" applyAlignment="1">
      <alignment horizontal="left" vertical="top" wrapText="1"/>
    </xf>
    <xf numFmtId="0" fontId="1" fillId="2" borderId="12" xfId="0" applyFont="1" applyFill="1" applyBorder="1" applyAlignment="1">
      <alignment vertical="top" wrapText="1"/>
    </xf>
    <xf numFmtId="0" fontId="4" fillId="0" borderId="10" xfId="0" applyFont="1" applyBorder="1" applyAlignment="1">
      <alignment horizontal="left" vertical="top" wrapText="1"/>
    </xf>
    <xf numFmtId="0" fontId="1" fillId="0" borderId="7" xfId="0" applyFont="1" applyBorder="1" applyAlignment="1">
      <alignment horizontal="left" vertical="top" wrapText="1"/>
    </xf>
    <xf numFmtId="0" fontId="3" fillId="0" borderId="7" xfId="0" quotePrefix="1" applyFont="1" applyBorder="1" applyAlignment="1">
      <alignment horizontal="left" vertical="top" wrapText="1"/>
    </xf>
    <xf numFmtId="0" fontId="6" fillId="0" borderId="7" xfId="0" quotePrefix="1" applyFont="1" applyBorder="1" applyAlignment="1">
      <alignment horizontal="left" vertical="top" wrapText="1"/>
    </xf>
    <xf numFmtId="0" fontId="4" fillId="0" borderId="7" xfId="0" applyFont="1" applyFill="1" applyBorder="1" applyAlignment="1">
      <alignment horizontal="left" vertical="top" wrapText="1"/>
    </xf>
    <xf numFmtId="3" fontId="3" fillId="0" borderId="9" xfId="0" applyNumberFormat="1" applyFont="1" applyFill="1" applyBorder="1"/>
  </cellXfs>
  <cellStyles count="1">
    <cellStyle name="Normal" xfId="0" builtinId="0"/>
  </cellStyles>
  <dxfs count="616">
    <dxf>
      <font>
        <strike val="0"/>
        <outline val="0"/>
        <shadow val="0"/>
        <u val="none"/>
        <vertAlign val="baseline"/>
        <sz val="10"/>
        <color theme="1"/>
        <name val="Calibr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0"/>
        <color theme="1"/>
        <name val="Calibr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strike val="0"/>
        <outline val="0"/>
        <shadow val="0"/>
        <u val="none"/>
        <vertAlign val="baseline"/>
        <sz val="10"/>
        <color theme="1"/>
        <name val="Calibr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strike val="0"/>
        <outline val="0"/>
        <shadow val="0"/>
        <u val="none"/>
        <vertAlign val="baseline"/>
        <sz val="10"/>
        <color theme="1"/>
        <name val="Calibri"/>
        <family val="2"/>
        <scheme val="minor"/>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strike val="0"/>
        <outline val="0"/>
        <shadow val="0"/>
        <u val="none"/>
        <vertAlign val="baseline"/>
        <sz val="10"/>
        <color theme="1"/>
        <name val="Calibri"/>
        <family val="2"/>
        <scheme val="minor"/>
      </font>
      <fill>
        <patternFill patternType="none">
          <fgColor indexed="64"/>
          <bgColor auto="1"/>
        </patternFill>
      </fill>
    </dxf>
    <dxf>
      <font>
        <strike val="0"/>
        <outline val="0"/>
        <shadow val="0"/>
        <u val="none"/>
        <vertAlign val="baseline"/>
        <sz val="10"/>
        <color theme="1"/>
        <name val="Calibri"/>
        <family val="2"/>
        <scheme val="minor"/>
      </font>
      <alignment horizontal="left" vertical="top" textRotation="0" wrapText="1" indent="0" justifyLastLine="0" shrinkToFit="0" readingOrder="0"/>
    </dxf>
    <dxf>
      <font>
        <strike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numFmt numFmtId="3" formatCode="#,##0"/>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numFmt numFmtId="3" formatCode="#,##0"/>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general"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theme="1"/>
        <name val="Calibri"/>
        <family val="2"/>
        <scheme val="minor"/>
      </font>
      <border diagonalUp="0" diagonalDown="0" outline="0">
        <left/>
        <right style="thin">
          <color indexed="64"/>
        </right>
        <top style="thin">
          <color indexed="64"/>
        </top>
        <bottom/>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alignment textRotation="0" wrapText="1"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general"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border diagonalUp="0" diagonalDown="0">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alignment horizontal="center" vertical="center" textRotation="0" wrapText="1" indent="0" justifyLastLine="0" shrinkToFit="0" readingOrder="0"/>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0"/>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alignment horizontal="center" vertical="center"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strike val="0"/>
        <outline val="0"/>
        <shadow val="0"/>
        <u val="none"/>
        <vertAlign val="baseline"/>
        <sz val="10"/>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name val="Calibri"/>
        <family val="2"/>
        <scheme val="minor"/>
      </font>
      <fill>
        <patternFill patternType="none">
          <fgColor indexed="64"/>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alignment horizontal="center" vertical="center" textRotation="0" indent="0" justifyLastLine="0" shrinkToFit="0" readingOrder="0"/>
    </dxf>
    <dxf>
      <font>
        <strike val="0"/>
        <outline val="0"/>
        <shadow val="0"/>
        <u val="none"/>
        <vertAlign val="baseline"/>
        <sz val="10"/>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fill>
        <patternFill patternType="none">
          <fgColor indexed="64"/>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alignment horizontal="center" vertical="center"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alignment horizontal="general" vertical="bottom" textRotation="0" wrapText="1" indent="0" justifyLastLine="0" shrinkToFit="0" readingOrder="0"/>
    </dxf>
    <dxf>
      <font>
        <strike val="0"/>
        <outline val="0"/>
        <shadow val="0"/>
        <u val="none"/>
        <vertAlign val="baseline"/>
        <sz val="10"/>
        <color theme="1"/>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numFmt numFmtId="3" formatCode="#,##0"/>
      <fill>
        <patternFill patternType="none">
          <fgColor indexed="64"/>
          <bgColor indexed="65"/>
        </patternFill>
      </fill>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color theme="1"/>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alignment horizontal="center" vertical="center"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0"/>
        <color theme="1"/>
        <name val="Calibri"/>
        <family val="2"/>
        <scheme val="minor"/>
      </font>
      <alignment horizontal="left" vertical="top" textRotation="0" wrapText="1" indent="0" justifyLastLine="0" shrinkToFit="0" readingOrder="0"/>
    </dxf>
    <dxf>
      <font>
        <strike val="0"/>
        <outline val="0"/>
        <shadow val="0"/>
        <u val="none"/>
        <vertAlign val="baseline"/>
        <sz val="10"/>
        <color theme="1"/>
        <name val="Calibri"/>
        <family val="2"/>
        <scheme val="minor"/>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3" formatCode="#,##0"/>
    </dxf>
    <dxf>
      <font>
        <strike val="0"/>
        <outline val="0"/>
        <shadow val="0"/>
        <u val="none"/>
        <vertAlign val="baseline"/>
        <sz val="10"/>
        <color theme="1"/>
        <name val="Calibri"/>
        <family val="2"/>
        <scheme val="minor"/>
      </font>
      <numFmt numFmtId="3" formatCode="#,##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dxf>
    <dxf>
      <font>
        <strike val="0"/>
        <outline val="0"/>
        <shadow val="0"/>
        <u val="none"/>
        <vertAlign val="baseline"/>
        <sz val="10"/>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name val="Calibri"/>
        <family val="2"/>
        <scheme val="minor"/>
      </font>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numFmt numFmtId="3" formatCode="#,##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dxf>
    <dxf>
      <font>
        <strike val="0"/>
        <outline val="0"/>
        <shadow val="0"/>
        <u val="none"/>
        <vertAlign val="baseline"/>
        <sz val="10"/>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86327414-2B7C-46D7-929A-03BC91127505}" name="Table1" displayName="Table1" ref="A2:L15" totalsRowCount="1" headerRowDxfId="615" dataDxfId="614" totalsRowDxfId="613">
  <autoFilter ref="A2:L14" xr:uid="{86327414-2B7C-46D7-929A-03BC91127505}"/>
  <sortState xmlns:xlrd2="http://schemas.microsoft.com/office/spreadsheetml/2017/richdata2" ref="A3:L14">
    <sortCondition ref="B2:B14"/>
  </sortState>
  <tableColumns count="12">
    <tableColumn id="1" xr3:uid="{9181D635-1213-4700-8E84-47F7160AA9A0}" name="Nimetus" dataDxfId="612" totalsRowDxfId="92"/>
    <tableColumn id="2" xr3:uid="{8BCD9018-54AF-42A4-8BB9-73EFF81BFE05}" name="Kulugrupp" dataDxfId="611" totalsRowDxfId="91"/>
    <tableColumn id="3" xr3:uid="{5175BF02-F2D3-4D03-9442-D3EDFAE947DD}" name="Eelarvekonto" dataDxfId="610" totalsRowDxfId="90"/>
    <tableColumn id="4" xr3:uid="{D4E796C1-E089-4184-BE86-2D3849C49B41}" name="Eelarve liik ja objekt" dataDxfId="609" totalsRowDxfId="89"/>
    <tableColumn id="5" xr3:uid="{1E125E95-A299-448A-8927-E4FCCDF64C92}" name="Eelarve projekt" dataDxfId="608" totalsRowDxfId="88"/>
    <tableColumn id="6" xr3:uid="{8192D6BB-88F3-42FC-8204-8976075CBCBA}" name="Grant" dataDxfId="607" totalsRowDxfId="87"/>
    <tableColumn id="7" xr3:uid="{C9499C92-1B1C-4D4B-A00B-F7CC08ACAEA6}" name="Tegevusala" dataDxfId="606" totalsRowDxfId="86"/>
    <tableColumn id="8" xr3:uid="{1BAFC64C-EE5F-4C8E-A001-65074BD4549C}" name="Kuluüksus" dataDxfId="605" totalsRowDxfId="85"/>
    <tableColumn id="9" xr3:uid="{C1B586A2-19BA-4160-875C-FC01374DA712}" name="Esialgne eelarve" totalsRowFunction="sum" dataDxfId="604" totalsRowDxfId="84"/>
    <tableColumn id="10" xr3:uid="{9A097D92-FFD9-4787-A127-DA9FFF8E9B77}" name="Muudatused" totalsRowFunction="sum" dataDxfId="603" totalsRowDxfId="83"/>
    <tableColumn id="11" xr3:uid="{1541465A-019B-45AA-97A5-C6BB23B4BCFC}" name="Muudetud eelarve" totalsRowFunction="sum" dataDxfId="602" totalsRowDxfId="82"/>
    <tableColumn id="12" xr3:uid="{41C3CEDD-FEB1-446B-8341-D486D5B063A4}" name="Selgitused" dataDxfId="601" totalsRowDxfId="81"/>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469731B-7A66-48FA-B02F-FDE8A799FEB3}" name="Table111" displayName="Table111" ref="A2:L9" totalsRowCount="1" headerRowDxfId="449" dataDxfId="482" totalsRowDxfId="483">
  <autoFilter ref="A2:L8" xr:uid="{4469731B-7A66-48FA-B02F-FDE8A799FEB3}"/>
  <tableColumns count="12">
    <tableColumn id="1" xr3:uid="{23042988-0BED-4E1B-9D2A-7E4A4A23A09F}" name="Nimetus" dataDxfId="305" totalsRowDxfId="214"/>
    <tableColumn id="2" xr3:uid="{05B42B88-2F31-4637-8E85-73F2E1D3372B}" name="Kulugrupp" dataDxfId="304" totalsRowDxfId="213"/>
    <tableColumn id="3" xr3:uid="{8C1F7792-17CF-406F-AA63-F53456BB3460}" name="Eelarvekonto" dataDxfId="303" totalsRowDxfId="212"/>
    <tableColumn id="4" xr3:uid="{11F169AC-992B-477D-A5CF-0A61270EE4EC}" name="Eelarve liik ja objekt" dataDxfId="302" totalsRowDxfId="211"/>
    <tableColumn id="5" xr3:uid="{BE05596D-200B-4075-9757-2C518025F00B}" name="Eelarve projekt" dataDxfId="301" totalsRowDxfId="210"/>
    <tableColumn id="6" xr3:uid="{B88E0A6A-DDCE-4D05-AD0D-2EA6C601601B}" name="Grant" dataDxfId="300" totalsRowDxfId="209"/>
    <tableColumn id="7" xr3:uid="{645A75A2-FEFF-4C78-BCDC-18C230E58DF7}" name="Tegevusala" dataDxfId="299" totalsRowDxfId="208"/>
    <tableColumn id="8" xr3:uid="{82F47938-DA12-4A9F-BD62-85E8C45485BB}" name="Kuluüksus" dataDxfId="298" totalsRowDxfId="207"/>
    <tableColumn id="9" xr3:uid="{06D270B4-F578-48FF-A900-A07F2E6541F6}" name="Esialgne eelarve" totalsRowFunction="sum" dataDxfId="297" totalsRowDxfId="206"/>
    <tableColumn id="10" xr3:uid="{0CFA4A7E-6DA3-4DED-96E8-4C279D109717}" name="Muudatused" totalsRowFunction="sum" dataDxfId="296" totalsRowDxfId="205"/>
    <tableColumn id="11" xr3:uid="{C9130C4D-382C-4861-940B-4C00B716DD8C}" name="Muudetud eelarve" totalsRowFunction="sum" dataDxfId="295" totalsRowDxfId="204"/>
    <tableColumn id="12" xr3:uid="{CEC75F93-A347-44D4-8D44-7B155D06A6C0}" name="Selgitused" dataDxfId="294" totalsRowDxfId="203"/>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E44A685B-3BB3-4A85-9227-7AABC7C82729}" name="Table113" displayName="Table113" ref="A2:L24" totalsRowCount="1" headerRowDxfId="446" dataDxfId="481" totalsRowDxfId="445" headerRowBorderDxfId="447" tableBorderDxfId="448">
  <autoFilter ref="A2:L23" xr:uid="{E44A685B-3BB3-4A85-9227-7AABC7C82729}"/>
  <sortState xmlns:xlrd2="http://schemas.microsoft.com/office/spreadsheetml/2017/richdata2" ref="A3:L23">
    <sortCondition ref="B2:B23"/>
  </sortState>
  <tableColumns count="12">
    <tableColumn id="1" xr3:uid="{A1312E1E-1CC8-4F40-A8D1-52C6CA4BD9E0}" name="Nimetus" dataDxfId="293" totalsRowDxfId="16"/>
    <tableColumn id="2" xr3:uid="{1F79A4AB-FCE1-44DD-8911-27DD0A42B533}" name="Kulugrupp" dataDxfId="292" totalsRowDxfId="15"/>
    <tableColumn id="3" xr3:uid="{15723499-F900-4440-999B-C4ECB18F9D67}" name="Eelarvekonto" dataDxfId="291" totalsRowDxfId="14"/>
    <tableColumn id="4" xr3:uid="{73BB5CB0-35CE-4DC8-94E2-D6E1A8C0AC42}" name="Eelarve liik ja objekt" dataDxfId="290" totalsRowDxfId="13"/>
    <tableColumn id="5" xr3:uid="{C357A523-F7F7-47E3-BB53-5B0153642D7F}" name="Eelarve projekt" dataDxfId="289" totalsRowDxfId="12"/>
    <tableColumn id="6" xr3:uid="{E7591CE9-B261-4141-9896-62E5A293529A}" name="Grant" dataDxfId="288" totalsRowDxfId="11"/>
    <tableColumn id="7" xr3:uid="{99C40E46-4688-406E-BF86-EBC1C79AC307}" name="Tegevusala" dataDxfId="287" totalsRowDxfId="10"/>
    <tableColumn id="8" xr3:uid="{332B703E-7A76-40BB-B22A-B1C4163B1C71}" name="Kuluüksus" dataDxfId="4" totalsRowDxfId="9"/>
    <tableColumn id="9" xr3:uid="{0B8CD78D-A203-4ECB-BBE0-55DE6862E9E2}" name="Esialgne eelarve" totalsRowFunction="sum" dataDxfId="3" totalsRowDxfId="8"/>
    <tableColumn id="10" xr3:uid="{E8A1F5BC-43C5-4409-B1FB-1BBDF3625E2B}" name="Muudatused" totalsRowFunction="sum" dataDxfId="2" totalsRowDxfId="7"/>
    <tableColumn id="11" xr3:uid="{5FB617E2-3F1D-42ED-B339-A233A13F8509}" name="Muudetud eelarve" totalsRowFunction="sum" dataDxfId="0" totalsRowDxfId="6"/>
    <tableColumn id="12" xr3:uid="{87D71908-0074-4600-AE01-029022CE6FF6}" name="Selgitused" dataDxfId="1" totalsRowDxfId="5"/>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592A5FC7-5F42-4CE0-8DA8-192FBFEC52A6}" name="Table118" displayName="Table118" ref="A2:L12" totalsRowCount="1" headerRowDxfId="431" dataDxfId="480" totalsRowDxfId="430" headerRowBorderDxfId="443" tableBorderDxfId="444">
  <autoFilter ref="A2:L11" xr:uid="{592A5FC7-5F42-4CE0-8DA8-192FBFEC52A6}"/>
  <tableColumns count="12">
    <tableColumn id="1" xr3:uid="{B4A6EE53-262A-4CDC-8B99-CF67F9EEF780}" name="Nimetus" dataDxfId="442" totalsRowDxfId="202"/>
    <tableColumn id="2" xr3:uid="{DEDF27D2-24CA-45CE-84E7-EC4D7C8099F5}" name="Kulugrupp" dataDxfId="441" totalsRowDxfId="201"/>
    <tableColumn id="3" xr3:uid="{B0EFD4FE-0EB6-4A2F-BA04-A8A0728DB208}" name="Eelarvekonto" dataDxfId="440" totalsRowDxfId="200"/>
    <tableColumn id="4" xr3:uid="{7A92A871-0575-4B4E-A8A5-F4406910AD2E}" name="Eelarve liik ja objekt" dataDxfId="439" totalsRowDxfId="199"/>
    <tableColumn id="5" xr3:uid="{E59D1EDC-9218-4E8C-8536-71D8688A701C}" name="Eelarve projekt" dataDxfId="438" totalsRowDxfId="198"/>
    <tableColumn id="6" xr3:uid="{3D20E678-25D3-42A2-B721-02829A09C3D4}" name="Grant" dataDxfId="437" totalsRowDxfId="197"/>
    <tableColumn id="7" xr3:uid="{4B4D6346-8F2B-4154-BF51-C7ED1DE44504}" name="Tegevusala" dataDxfId="436" totalsRowDxfId="196"/>
    <tableColumn id="8" xr3:uid="{5D99979D-FDD9-41D2-B348-D9201C74A462}" name="Kuluüksus" dataDxfId="435" totalsRowDxfId="195"/>
    <tableColumn id="9" xr3:uid="{363A5AD4-2030-484F-9E9D-24A8A2176F58}" name="Esialgne eelarve" totalsRowFunction="sum" dataDxfId="429" totalsRowDxfId="194"/>
    <tableColumn id="10" xr3:uid="{5607CC21-0739-4EAE-86CC-E861525C81F3}" name="Muudatused" totalsRowFunction="sum" dataDxfId="434" totalsRowDxfId="193"/>
    <tableColumn id="11" xr3:uid="{C9619DC6-9572-408D-903A-91B314137116}" name="Muudetud eelarve" totalsRowFunction="sum" dataDxfId="433" totalsRowDxfId="192"/>
    <tableColumn id="12" xr3:uid="{4BE0AD8E-608E-4D49-810A-8B145B9B07B0}" name="Selgitused" dataDxfId="432" totalsRowDxfId="191"/>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8696EE34-13F2-4F16-86A7-D4C06C8D0394}" name="Table119" displayName="Table119" ref="A2:L13" totalsRowCount="1" headerRowDxfId="425" dataDxfId="479" totalsRowDxfId="426" headerRowBorderDxfId="427" tableBorderDxfId="428">
  <autoFilter ref="A2:L12" xr:uid="{8696EE34-13F2-4F16-86A7-D4C06C8D0394}"/>
  <sortState xmlns:xlrd2="http://schemas.microsoft.com/office/spreadsheetml/2017/richdata2" ref="A3:L12">
    <sortCondition ref="B2:B12"/>
  </sortState>
  <tableColumns count="12">
    <tableColumn id="1" xr3:uid="{96F66E05-CED2-49CB-A99D-AD1C75E90C99}" name="Nimetus" dataDxfId="317" totalsRowDxfId="286"/>
    <tableColumn id="2" xr3:uid="{73C24D8F-00AE-4E63-8D91-70E37C3658FC}" name="Kulugrupp" dataDxfId="316" totalsRowDxfId="285"/>
    <tableColumn id="3" xr3:uid="{A0014DD5-6CBC-4928-9C91-FA55DB41B4AA}" name="Eelarvekonto" dataDxfId="315" totalsRowDxfId="284"/>
    <tableColumn id="4" xr3:uid="{A4F82078-D333-41C6-9D78-B6FD74A7FB19}" name="Eelarve liik ja objekt" dataDxfId="314" totalsRowDxfId="283"/>
    <tableColumn id="5" xr3:uid="{5A68FDC2-4EB0-4420-BDF5-932A1A7FE1DF}" name="Eelarve projekt" dataDxfId="313" totalsRowDxfId="282"/>
    <tableColumn id="6" xr3:uid="{37F7B7AE-1FB1-402E-BB8C-F5FFF36B18FB}" name="Grant" dataDxfId="312" totalsRowDxfId="281"/>
    <tableColumn id="7" xr3:uid="{D8678850-364A-442C-BBF0-5BFAFBC58842}" name="Tegevusala" dataDxfId="311" totalsRowDxfId="280"/>
    <tableColumn id="8" xr3:uid="{598F8044-5B90-44B4-A2E3-49CFF7BA691F}" name="Kuluüksus" dataDxfId="310" totalsRowDxfId="279"/>
    <tableColumn id="9" xr3:uid="{F09CA682-8028-45FB-8565-7DBF517D4874}" name="Esialgne eelarve" totalsRowFunction="sum" dataDxfId="309" totalsRowDxfId="278"/>
    <tableColumn id="10" xr3:uid="{4C374E03-879C-49E9-9B00-067C5246A546}" name="Muudatused" totalsRowFunction="sum" dataDxfId="308" totalsRowDxfId="277"/>
    <tableColumn id="11" xr3:uid="{529CC0E6-0398-42E9-A363-5099C268DA59}" name="Muudetud eelarve" totalsRowFunction="sum" dataDxfId="307" totalsRowDxfId="276"/>
    <tableColumn id="12" xr3:uid="{9FBA2850-2618-4FC6-ADAF-E57BE7ED7379}" name="Selgitused" dataDxfId="306" totalsRowDxfId="275"/>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A4BF865D-3437-42E3-AA26-EAE3DBCB71F6}" name="Table120" displayName="Table120" ref="A2:L6" totalsRowCount="1" headerRowDxfId="413" dataDxfId="478" totalsRowDxfId="412" headerRowBorderDxfId="423" tableBorderDxfId="424">
  <autoFilter ref="A2:L5" xr:uid="{A4BF865D-3437-42E3-AA26-EAE3DBCB71F6}"/>
  <tableColumns count="12">
    <tableColumn id="1" xr3:uid="{6F377219-FE9D-4D6A-8B48-3102A2973C18}" name="Nimetus" dataDxfId="422" totalsRowDxfId="190"/>
    <tableColumn id="2" xr3:uid="{00598757-98FE-46B5-9772-ACE14FF383AA}" name="Kulugrupp" dataDxfId="421" totalsRowDxfId="189"/>
    <tableColumn id="3" xr3:uid="{6FB42D6D-19E6-4695-BBEA-EA645855119F}" name="Eelarvekonto" dataDxfId="420" totalsRowDxfId="188"/>
    <tableColumn id="4" xr3:uid="{6D95555E-0CF3-4E34-B0FB-B73E222833AA}" name="Eelarve liik ja objekt" dataDxfId="419" totalsRowDxfId="187"/>
    <tableColumn id="5" xr3:uid="{6A3AFB46-8336-4A36-ACD7-4F832D93C24A}" name="Eelarve projekt" dataDxfId="418" totalsRowDxfId="186"/>
    <tableColumn id="6" xr3:uid="{EB985427-BF91-4FBB-8C66-95FD83CF3DE9}" name="Grant" dataDxfId="417" totalsRowDxfId="185"/>
    <tableColumn id="7" xr3:uid="{4E231835-ADC2-4B40-A45E-FA4BC40D22FF}" name="Tegevusala" dataDxfId="416" totalsRowDxfId="184"/>
    <tableColumn id="8" xr3:uid="{DE84BE28-F574-42E9-AAF8-488CBE636324}" name="Kuluüksus" dataDxfId="415" totalsRowDxfId="183"/>
    <tableColumn id="9" xr3:uid="{4EC72296-0006-4309-B599-DB1624325948}" name="Esialgne eelarve" totalsRowFunction="sum" dataDxfId="411" totalsRowDxfId="182"/>
    <tableColumn id="10" xr3:uid="{848C0E29-7132-4E14-98B4-C9CE5B566223}" name="Muudatused" totalsRowFunction="sum" dataDxfId="414" totalsRowDxfId="181"/>
    <tableColumn id="11" xr3:uid="{D1FFE6FC-48CB-455C-9993-847830AAFAB5}" name="Muudetud eelarve" totalsRowFunction="sum" dataDxfId="178" totalsRowDxfId="180"/>
    <tableColumn id="12" xr3:uid="{523842A2-B589-4D39-B4A5-F9533E42AFDB}" name="Selgitused" dataDxfId="177" totalsRowDxfId="179"/>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AD7D1754-B0FD-4D48-917F-A9CF88973BD2}" name="Table122" displayName="Table122" ref="A2:L6" totalsRowCount="1" headerRowDxfId="397" dataDxfId="477" totalsRowDxfId="396" headerRowBorderDxfId="409" tableBorderDxfId="410">
  <autoFilter ref="A2:L5" xr:uid="{AD7D1754-B0FD-4D48-917F-A9CF88973BD2}"/>
  <tableColumns count="12">
    <tableColumn id="1" xr3:uid="{585F7D2C-8A1A-4FE0-8CF6-B6C5B0EC107D}" name="Nimetus" dataDxfId="408" totalsRowDxfId="274"/>
    <tableColumn id="2" xr3:uid="{2C9B5A72-E0CC-41BD-BAE2-238555B7400C}" name="Kulugrupp" dataDxfId="407" totalsRowDxfId="273"/>
    <tableColumn id="3" xr3:uid="{EBECE81D-6B24-4768-B8F4-097CDF6C6E68}" name="Eelarvekonto" dataDxfId="406" totalsRowDxfId="272"/>
    <tableColumn id="4" xr3:uid="{D981901F-4CEE-4BA9-964C-F16FECF6C044}" name="Eelarve liik ja objekt" dataDxfId="405" totalsRowDxfId="271"/>
    <tableColumn id="5" xr3:uid="{01865157-73EC-4EF3-BD05-FA22E8229D39}" name="Eelarve projekt" dataDxfId="404" totalsRowDxfId="270"/>
    <tableColumn id="6" xr3:uid="{5F1AE831-7F7C-4DF5-8902-4F300683BDEA}" name="Grant" dataDxfId="403" totalsRowDxfId="269"/>
    <tableColumn id="7" xr3:uid="{0EC1DDE0-3678-443B-8014-2C3A0100B813}" name="Tegevusala" dataDxfId="402" totalsRowDxfId="268"/>
    <tableColumn id="8" xr3:uid="{60DEF550-0C5B-480F-A1BE-6802AAEDBB09}" name="Kuluüksus" dataDxfId="401" totalsRowDxfId="267"/>
    <tableColumn id="9" xr3:uid="{1FD7C41C-8B1A-4E36-BD58-DFCA2A58BB6B}" name="Esialgne eelarve" totalsRowFunction="sum" dataDxfId="395" totalsRowDxfId="266"/>
    <tableColumn id="10" xr3:uid="{8407572E-55AF-40B7-B915-D6237B869FBA}" name="Muudatused" totalsRowFunction="sum" dataDxfId="400" totalsRowDxfId="265"/>
    <tableColumn id="11" xr3:uid="{C139D14B-280F-4060-9091-2AE0EA9C3D0F}" name="Muudetud eelarve" totalsRowFunction="sum" dataDxfId="399" totalsRowDxfId="264"/>
    <tableColumn id="12" xr3:uid="{729B2333-3AFD-4D5C-A75E-E0D6D599CA65}" name="Selgitused" dataDxfId="398" totalsRowDxfId="263"/>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A1869602-E23F-42B3-9A2C-5A7DDB23EFAB}" name="Table123" displayName="Table123" ref="A2:L7" totalsRowCount="1" headerRowDxfId="381" dataDxfId="476" totalsRowDxfId="380" headerRowBorderDxfId="393" tableBorderDxfId="394">
  <autoFilter ref="A2:L6" xr:uid="{A1869602-E23F-42B3-9A2C-5A7DDB23EFAB}"/>
  <tableColumns count="12">
    <tableColumn id="1" xr3:uid="{458C9AA4-82AE-493B-8526-F442A983222E}" name="Nimetus" dataDxfId="392" totalsRowDxfId="164"/>
    <tableColumn id="2" xr3:uid="{A35FA790-E110-4050-80D5-BD2BDB1E9D7C}" name="Kulugrupp" dataDxfId="391" totalsRowDxfId="163"/>
    <tableColumn id="3" xr3:uid="{998C4E2C-C769-46EC-8DA8-08A2DF5EE7CC}" name="Eelarvekonto" dataDxfId="390" totalsRowDxfId="162"/>
    <tableColumn id="4" xr3:uid="{C1BC2662-27BF-44C3-9E8A-EC825CD0A331}" name="Eelarve liik ja objekt" dataDxfId="389" totalsRowDxfId="161"/>
    <tableColumn id="5" xr3:uid="{83D7DDFE-276D-4B6B-BB72-5F0AEE238E0E}" name="Eelarve projekt" dataDxfId="388" totalsRowDxfId="160"/>
    <tableColumn id="6" xr3:uid="{B3A2B32A-6A2F-41AA-8428-CB55A9475E87}" name="Grant" dataDxfId="387" totalsRowDxfId="159"/>
    <tableColumn id="7" xr3:uid="{D71EC981-FAF6-453B-9A7C-F81644612420}" name="Tegevusala" dataDxfId="386" totalsRowDxfId="158"/>
    <tableColumn id="8" xr3:uid="{8E412388-AF6C-4A23-AF54-2822C5D6DF88}" name="Kuluüksus" dataDxfId="385" totalsRowDxfId="157"/>
    <tableColumn id="9" xr3:uid="{895EF24B-E497-4140-A32C-6209AE1D9B9B}" name="Esialgne eelarve" totalsRowFunction="sum" dataDxfId="379" totalsRowDxfId="156"/>
    <tableColumn id="10" xr3:uid="{99E4DB8A-DEBD-4199-90D6-7A64D72266B8}" name="Muudatused" totalsRowFunction="sum" dataDxfId="384" totalsRowDxfId="155"/>
    <tableColumn id="11" xr3:uid="{50AA3083-B7CD-473F-AAD5-10137E9C501B}" name="Muudetud eelarve" totalsRowFunction="sum" dataDxfId="383" totalsRowDxfId="154"/>
    <tableColumn id="12" xr3:uid="{8203A7C6-F380-4D31-A48B-9F2045AFF0B4}" name="Selgitused" dataDxfId="382" totalsRowDxfId="153"/>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BF7112A-ADC3-47E4-96B7-4EC62B27B898}" name="Table124" displayName="Table124" ref="A2:L12" totalsRowCount="1" headerRowDxfId="376" dataDxfId="475" totalsRowDxfId="375" headerRowBorderDxfId="377" tableBorderDxfId="378">
  <autoFilter ref="A2:L11" xr:uid="{0BF7112A-ADC3-47E4-96B7-4EC62B27B898}"/>
  <sortState xmlns:xlrd2="http://schemas.microsoft.com/office/spreadsheetml/2017/richdata2" ref="A3:L11">
    <sortCondition ref="B2:B11"/>
  </sortState>
  <tableColumns count="12">
    <tableColumn id="1" xr3:uid="{30F99524-70EE-4B7A-87F7-1E6B3D48E71E}" name="Nimetus" dataDxfId="140" totalsRowDxfId="28"/>
    <tableColumn id="2" xr3:uid="{272F37AD-C082-4DAB-8249-25E166452892}" name="Kulugrupp" dataDxfId="139" totalsRowDxfId="27"/>
    <tableColumn id="3" xr3:uid="{05844AED-1C10-4180-8ECE-2252BC4192FC}" name="Eelarvekonto" dataDxfId="138" totalsRowDxfId="26"/>
    <tableColumn id="4" xr3:uid="{9FFFD572-95E3-457A-8EFF-907EABD22D5B}" name="Eelarve liik ja objekt" dataDxfId="137" totalsRowDxfId="25"/>
    <tableColumn id="5" xr3:uid="{1480C9E9-ADDE-4282-B75A-030590BA5B6A}" name="Eelarve projekt" dataDxfId="136" totalsRowDxfId="24"/>
    <tableColumn id="6" xr3:uid="{0CE7F9AB-52EB-4E0E-80AA-28DCB16D02A2}" name="Grant" dataDxfId="135" totalsRowDxfId="23"/>
    <tableColumn id="7" xr3:uid="{03EA8343-F6E8-415E-A46D-85EE71A3ECAB}" name="Tegevusala" dataDxfId="134" totalsRowDxfId="22"/>
    <tableColumn id="8" xr3:uid="{07BEEB8F-9B78-4284-835B-33897362CE66}" name="Kuluüksus" dataDxfId="133" totalsRowDxfId="21"/>
    <tableColumn id="9" xr3:uid="{CE195297-A8B5-428D-AB67-9A63574A33EE}" name="Esialgne eelarve" totalsRowFunction="sum" dataDxfId="132" totalsRowDxfId="20"/>
    <tableColumn id="10" xr3:uid="{DDD3C923-AD90-4AB8-AE21-59CEF2F1BC2F}" name="Muudatused" totalsRowFunction="sum" dataDxfId="131" totalsRowDxfId="19"/>
    <tableColumn id="11" xr3:uid="{C564E93C-66DD-409C-A4D8-5640B75537D9}" name="Muudetud eelarve" totalsRowFunction="sum" dataDxfId="130" totalsRowDxfId="18"/>
    <tableColumn id="12" xr3:uid="{C4E4FEF8-BA2A-4DFB-BB50-14598EAA8888}" name="Selgitused" dataDxfId="129" totalsRowDxfId="17"/>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75C8AB75-4AEC-4512-BDF2-F3392F3AF733}" name="Table125" displayName="Table125" ref="A2:L27" totalsRowCount="1" headerRowDxfId="467" dataDxfId="473" totalsRowDxfId="474">
  <autoFilter ref="A2:L26" xr:uid="{75C8AB75-4AEC-4512-BDF2-F3392F3AF733}"/>
  <sortState xmlns:xlrd2="http://schemas.microsoft.com/office/spreadsheetml/2017/richdata2" ref="A3:L26">
    <sortCondition ref="B2:B26"/>
  </sortState>
  <tableColumns count="12">
    <tableColumn id="1" xr3:uid="{6187C6FA-9AB7-45A2-AC19-F47E04554B95}" name="Nimetus" dataDxfId="128" totalsRowDxfId="119"/>
    <tableColumn id="2" xr3:uid="{76377486-35BA-4094-881A-BB59535656C0}" name="Kulugrupp" dataDxfId="127" totalsRowDxfId="118"/>
    <tableColumn id="3" xr3:uid="{C1D4D04B-B83B-479A-9B4B-B12BA59F2400}" name="Eelarvekonto" dataDxfId="126" totalsRowDxfId="117"/>
    <tableColumn id="4" xr3:uid="{FD13FD6E-9C46-4571-94EB-048EC5FC9D1D}" name="Eelarve liik ja objekt" dataDxfId="125" totalsRowDxfId="116"/>
    <tableColumn id="5" xr3:uid="{2EE148DC-18FC-4922-84ED-70F75B10AF4E}" name="Eelarve projekt" dataDxfId="124" totalsRowDxfId="115"/>
    <tableColumn id="6" xr3:uid="{8AAC839C-E8AD-466A-AB72-21BC57B16D13}" name="Grant" dataDxfId="123" totalsRowDxfId="114"/>
    <tableColumn id="7" xr3:uid="{509DE078-4C3F-4061-91C6-669009E1E82C}" name="Tegevusala" dataDxfId="122" totalsRowDxfId="113"/>
    <tableColumn id="8" xr3:uid="{203C1BD5-0022-459E-9E55-8B035FFD95BF}" name="Kuluüksus" dataDxfId="121" totalsRowDxfId="112"/>
    <tableColumn id="9" xr3:uid="{9961608C-BB82-4ADB-BEC8-869588B5B01A}" name="Esialgne eelarve" totalsRowFunction="sum" dataDxfId="120" totalsRowDxfId="111"/>
    <tableColumn id="10" xr3:uid="{6E15696C-2D2C-4175-B694-17EC6CD1B084}" name="Muudatused" totalsRowFunction="sum" dataDxfId="107" totalsRowDxfId="110"/>
    <tableColumn id="11" xr3:uid="{444BEB32-42BF-4071-A846-8BC8AAE53FA7}" name="Muudetud eelarve" totalsRowFunction="sum" dataDxfId="105" totalsRowDxfId="109"/>
    <tableColumn id="12" xr3:uid="{F4428BD8-24E3-430E-BD07-C67BCCEB2546}" name="Selgitused" dataDxfId="106" totalsRowDxfId="108"/>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721C7512-4452-497B-9F71-3051D7AF6DFF}" name="Table128" displayName="Table128" ref="A2:L8" totalsRowCount="1" headerRowDxfId="361" dataDxfId="472" totalsRowDxfId="360" headerRowBorderDxfId="373" tableBorderDxfId="374">
  <autoFilter ref="A2:L7" xr:uid="{721C7512-4452-497B-9F71-3051D7AF6DFF}"/>
  <tableColumns count="12">
    <tableColumn id="1" xr3:uid="{FBE3335F-6CA8-46AF-AF9F-8842E3868D66}" name="Nimetus" dataDxfId="372" totalsRowDxfId="104"/>
    <tableColumn id="2" xr3:uid="{35866DC6-9A0B-4333-98C3-37902D4FB82F}" name="Kulugrupp" dataDxfId="371" totalsRowDxfId="103"/>
    <tableColumn id="3" xr3:uid="{493313C1-AFFF-4CCA-8508-5CA9C8EA0373}" name="Eelarvekonto" dataDxfId="370" totalsRowDxfId="102"/>
    <tableColumn id="4" xr3:uid="{96C496AA-4628-4E31-9605-BAFD3824E2A5}" name="Eelarve liik ja objekt" dataDxfId="369" totalsRowDxfId="101"/>
    <tableColumn id="5" xr3:uid="{4AF90F0D-2EBF-4231-B227-A55BCF7F9410}" name="Eelarve projekt" dataDxfId="368" totalsRowDxfId="100"/>
    <tableColumn id="6" xr3:uid="{BEA567A8-9091-44B5-B266-C0E408E59260}" name="Grant" dataDxfId="367" totalsRowDxfId="99"/>
    <tableColumn id="7" xr3:uid="{58EC8158-794C-4DE4-93AD-E29AD5AE6159}" name="Tegevusala" dataDxfId="366" totalsRowDxfId="98"/>
    <tableColumn id="8" xr3:uid="{38DEB1E3-D334-4FC3-AD6F-E9ABD13C4F4A}" name="Kuluüksus" dataDxfId="365" totalsRowDxfId="97"/>
    <tableColumn id="9" xr3:uid="{05FFBD6C-11DD-41EF-84CC-34ADBBF69AF9}" name="Esialgne eelarve" totalsRowFunction="sum" dataDxfId="359" totalsRowDxfId="96"/>
    <tableColumn id="10" xr3:uid="{2A0F7054-160F-4998-9486-D15D3D20AF8A}" name="Muudatused" totalsRowFunction="sum" dataDxfId="364" totalsRowDxfId="95"/>
    <tableColumn id="11" xr3:uid="{75EF1AA6-0A5E-415D-B86C-7B6EFE6CA33C}" name="Muudetud eelarve" totalsRowFunction="sum" dataDxfId="363" totalsRowDxfId="94"/>
    <tableColumn id="12" xr3:uid="{6CC91853-8DEB-42FC-9A0C-A76A029313AA}" name="Selgitused" dataDxfId="362" totalsRowDxfId="93"/>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EFFF101-D1AE-4371-A03B-59E2DDA13B1E}" name="Table18" displayName="Table18" ref="A2:L16" totalsRowCount="1" headerRowDxfId="600" dataDxfId="599" totalsRowDxfId="598">
  <autoFilter ref="A2:L15" xr:uid="{6EFFF101-D1AE-4371-A03B-59E2DDA13B1E}"/>
  <sortState xmlns:xlrd2="http://schemas.microsoft.com/office/spreadsheetml/2017/richdata2" ref="A3:L15">
    <sortCondition ref="F2:F15"/>
  </sortState>
  <tableColumns count="12">
    <tableColumn id="1" xr3:uid="{74FF4270-E7D5-4D92-9063-F480105D5914}" name="Nimetus" dataDxfId="597" totalsRowDxfId="596"/>
    <tableColumn id="2" xr3:uid="{CA49A360-EB92-461E-9EAD-E23CD0F0593D}" name="Kulugrupp" dataDxfId="595" totalsRowDxfId="594"/>
    <tableColumn id="3" xr3:uid="{7D18C167-2E69-485A-86D9-2A5ED2FEA20D}" name="Eelarvekonto" dataDxfId="593" totalsRowDxfId="592"/>
    <tableColumn id="4" xr3:uid="{1813B655-4AEC-4A19-A6D3-1C9ADFA652A5}" name="Eelarve liik ja objekt" dataDxfId="591" totalsRowDxfId="590"/>
    <tableColumn id="5" xr3:uid="{85FCDA13-D3FF-4487-ABC2-05B9F59CA1DE}" name="Eelarve projekt" dataDxfId="589" totalsRowDxfId="588"/>
    <tableColumn id="6" xr3:uid="{3AF2CC22-E0A7-485E-9327-361DB20CB350}" name="Grant" dataDxfId="587" totalsRowDxfId="586"/>
    <tableColumn id="7" xr3:uid="{6EA494E8-F888-4434-8518-3B9C746BE583}" name="Tegevusala" dataDxfId="585" totalsRowDxfId="584"/>
    <tableColumn id="8" xr3:uid="{8C332CC7-669B-4F5C-8BC9-D6EB2491C602}" name="Kuluüksus" dataDxfId="583" totalsRowDxfId="582"/>
    <tableColumn id="9" xr3:uid="{5EC66F8D-3E64-4E80-8984-724F1AAF56B1}" name="Esialgne eelarve" totalsRowFunction="sum" dataDxfId="581" totalsRowDxfId="580"/>
    <tableColumn id="10" xr3:uid="{C414DC2B-7FDC-49F6-A636-1B850509D9E7}" name="Muudatused" totalsRowFunction="sum" dataDxfId="579" totalsRowDxfId="578"/>
    <tableColumn id="11" xr3:uid="{35280A68-6362-4497-8C5C-62B40A0EE1E5}" name="Muudetud eelarve" totalsRowFunction="sum" dataDxfId="577" totalsRowDxfId="576"/>
    <tableColumn id="12" xr3:uid="{3646BAD3-199D-4F22-A1ED-8CA0D75B7439}" name="Selgitused" dataDxfId="575" totalsRowDxfId="574"/>
  </tableColumns>
  <tableStyleInfo name="TableStyleMedium2"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B3131F3C-50B6-474E-A05D-E5E22ACE59BC}" name="Table130" displayName="Table130" ref="A2:L12" totalsRowCount="1" headerRowDxfId="59" dataDxfId="470" totalsRowDxfId="471">
  <autoFilter ref="A2:L11" xr:uid="{B3131F3C-50B6-474E-A05D-E5E22ACE59BC}"/>
  <sortState xmlns:xlrd2="http://schemas.microsoft.com/office/spreadsheetml/2017/richdata2" ref="A3:L11">
    <sortCondition ref="B2:B11"/>
  </sortState>
  <tableColumns count="12">
    <tableColumn id="1" xr3:uid="{B5EDFC1D-A331-4F62-952D-61FE4CF28CC8}" name="Nimetus" dataDxfId="68" totalsRowDxfId="80"/>
    <tableColumn id="2" xr3:uid="{7D681ABD-0B21-486C-87B7-B446014D03B3}" name="Kulugrupp" dataDxfId="67" totalsRowDxfId="79"/>
    <tableColumn id="3" xr3:uid="{97CDC473-2369-4C5A-B18E-FCDA98F4408E}" name="Eelarvekonto" dataDxfId="66" totalsRowDxfId="78"/>
    <tableColumn id="4" xr3:uid="{BA35720D-CCDD-4805-9DA4-CD6E4B4B5536}" name="Eelarve liik ja objekt" dataDxfId="65" totalsRowDxfId="77"/>
    <tableColumn id="5" xr3:uid="{6F5AD6F1-D26F-421A-9F00-E8D0C6A9DEC9}" name="Eelarve projekt" dataDxfId="64" totalsRowDxfId="76"/>
    <tableColumn id="6" xr3:uid="{DE7DF4BD-2021-408C-84B9-C88B80FB1F73}" name="Grant" dataDxfId="63" totalsRowDxfId="75"/>
    <tableColumn id="7" xr3:uid="{8D57D5C6-A72B-4C68-9F12-0FECE00437F1}" name="Tegevusala" dataDxfId="62" totalsRowDxfId="74"/>
    <tableColumn id="8" xr3:uid="{87BA932D-4189-4203-88B0-340EA4536E61}" name="Kuluüksus" dataDxfId="61" totalsRowDxfId="73"/>
    <tableColumn id="9" xr3:uid="{BBC7FE16-E695-41A5-BAC3-127D2ABE4D31}" name="Esialgne eelarve" totalsRowFunction="sum" dataDxfId="60" totalsRowDxfId="72"/>
    <tableColumn id="10" xr3:uid="{28B23164-E89D-40F3-8836-3D64C39AA35E}" name="Muudatused" totalsRowFunction="sum" dataDxfId="58" totalsRowDxfId="71"/>
    <tableColumn id="11" xr3:uid="{20291735-C80E-4172-8AE2-25C9A45351D7}" name="Muudetud eelarve" totalsRowFunction="sum" dataDxfId="56" totalsRowDxfId="70"/>
    <tableColumn id="12" xr3:uid="{0FD0974D-DFDF-4C86-BBD2-01EF5F778716}" name="Selgitused" dataDxfId="57" totalsRowDxfId="69"/>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B7BF1540-67C4-4AA3-A973-D31C7FC4F897}" name="Table127" displayName="Table127" ref="A2:L16" totalsRowCount="1" headerRowDxfId="348" dataDxfId="469" totalsRowDxfId="347" headerRowBorderDxfId="357" tableBorderDxfId="358">
  <autoFilter ref="A2:L15" xr:uid="{B7BF1540-67C4-4AA3-A973-D31C7FC4F897}"/>
  <tableColumns count="12">
    <tableColumn id="1" xr3:uid="{F706E265-657F-4617-A6BB-6EFA76ECAE83}" name="Nimetus" dataDxfId="356" totalsRowDxfId="55"/>
    <tableColumn id="2" xr3:uid="{E196FCF0-6EA6-44B0-8AB8-2FA010DAF5C5}" name="Kulugrupp" dataDxfId="355" totalsRowDxfId="54"/>
    <tableColumn id="3" xr3:uid="{EA84C8AA-2655-42FC-BC79-69020FD65A29}" name="Eelarvekonto" dataDxfId="354" totalsRowDxfId="53"/>
    <tableColumn id="4" xr3:uid="{661DCAAF-4A97-4816-B41F-1DABD555A5B3}" name="Eelarve liik ja objekt" dataDxfId="353" totalsRowDxfId="52"/>
    <tableColumn id="5" xr3:uid="{EB4182A0-54AF-44C5-8BF3-53A87E876A54}" name="Eelarve projekt" dataDxfId="352" totalsRowDxfId="51"/>
    <tableColumn id="6" xr3:uid="{09F1A004-F3FF-435E-933D-B0CFABDD6455}" name="Grant" dataDxfId="351" totalsRowDxfId="50"/>
    <tableColumn id="7" xr3:uid="{EF86E3A7-139B-4FC8-9D74-05FFB3F72FF2}" name="Tegevusala" dataDxfId="350" totalsRowDxfId="49"/>
    <tableColumn id="8" xr3:uid="{0A234925-A21A-425C-98AB-28F9F2916516}" name="Kuluüksus" dataDxfId="349" totalsRowDxfId="48"/>
    <tableColumn id="9" xr3:uid="{A3005A89-24CF-4059-A228-F3E5FFCA8E02}" name="Esialgne eelarve" totalsRowFunction="sum" dataDxfId="346" totalsRowDxfId="47"/>
    <tableColumn id="10" xr3:uid="{FD8EA3CE-21D5-41BE-924E-80EF8DD432A5}" name="Muudatused" totalsRowFunction="sum" dataDxfId="31" totalsRowDxfId="46"/>
    <tableColumn id="11" xr3:uid="{545CF40F-4F0D-4397-BC8E-B22702394853}" name="Muudetud eelarve" totalsRowFunction="sum" dataDxfId="29" totalsRowDxfId="45"/>
    <tableColumn id="12" xr3:uid="{D664C99D-B7BA-45AF-9011-E8BE07705192}" name="Selgitused" dataDxfId="30" totalsRowDxfId="44"/>
  </tableColumns>
  <tableStyleInfo name="TableStyleMedium2"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E943CECF-AC09-4639-A593-961E24383AD7}" name="Table16" displayName="Table16" ref="A2:L9" totalsRowCount="1" headerRowDxfId="332" dataDxfId="468" totalsRowDxfId="331" headerRowBorderDxfId="344" tableBorderDxfId="345">
  <autoFilter ref="A2:L8" xr:uid="{E943CECF-AC09-4639-A593-961E24383AD7}"/>
  <tableColumns count="12">
    <tableColumn id="1" xr3:uid="{8287D429-DA81-4DB2-8AE4-F8E37673E1D3}" name="Nimetus" dataDxfId="343" totalsRowDxfId="262"/>
    <tableColumn id="2" xr3:uid="{640FB6BF-C18D-48E4-A0A3-D0DC84293C80}" name="Kulugrupp" dataDxfId="342" totalsRowDxfId="261"/>
    <tableColumn id="3" xr3:uid="{50FE6825-350E-4733-A192-2AA3B01D57D6}" name="Eelarvekonto" dataDxfId="341" totalsRowDxfId="260"/>
    <tableColumn id="4" xr3:uid="{5BB1ED22-D2F7-49BB-B446-50353EAE9448}" name="Eelarve liik ja objekt" dataDxfId="340" totalsRowDxfId="259"/>
    <tableColumn id="5" xr3:uid="{82C01755-14B1-445B-8FFB-B79F1D6994FF}" name="Eelarve projekt" dataDxfId="339" totalsRowDxfId="258"/>
    <tableColumn id="6" xr3:uid="{6DD9C804-6C01-40C8-AF5C-8C92DDC0CAC7}" name="Grant" dataDxfId="338" totalsRowDxfId="257"/>
    <tableColumn id="7" xr3:uid="{B7334AF4-D6E1-4672-8781-C0A84FF498F9}" name="Tegevusala" dataDxfId="337" totalsRowDxfId="256"/>
    <tableColumn id="8" xr3:uid="{4EB9EB02-2893-4575-B194-4C7082A4E41F}" name="Kuluüksus" dataDxfId="336" totalsRowDxfId="255"/>
    <tableColumn id="9" xr3:uid="{D87B7589-04E4-447B-8E57-ABC121A3D34B}" name="Esialgne eelarve" totalsRowFunction="sum" dataDxfId="330" totalsRowDxfId="254"/>
    <tableColumn id="10" xr3:uid="{744A7073-D8D2-471A-B1B1-6FD307178D62}" name="Muudatused" totalsRowFunction="sum" dataDxfId="335" totalsRowDxfId="253"/>
    <tableColumn id="11" xr3:uid="{1F7D60D0-757C-4E39-A724-33D3EE2512CD}" name="Muudetud eelarve" totalsRowFunction="sum" dataDxfId="334" totalsRowDxfId="252"/>
    <tableColumn id="12" xr3:uid="{E56C020D-A7C3-4F27-9D6F-19731B0129A7}" name="Selgitused" dataDxfId="333" totalsRowDxfId="25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6C27E22-64A7-48EB-9426-511BCF8EDEB2}" name="Table110" displayName="Table110" ref="A2:L13" totalsRowCount="1" headerRowDxfId="573" dataDxfId="572" totalsRowDxfId="571">
  <autoFilter ref="A2:L12" xr:uid="{16C27E22-64A7-48EB-9426-511BCF8EDEB2}"/>
  <sortState xmlns:xlrd2="http://schemas.microsoft.com/office/spreadsheetml/2017/richdata2" ref="A3:L12">
    <sortCondition ref="A2:A12"/>
  </sortState>
  <tableColumns count="12">
    <tableColumn id="1" xr3:uid="{69023522-59F7-482B-AC4E-B02AEA177350}" name="Nimetus" dataDxfId="570" totalsRowDxfId="569"/>
    <tableColumn id="2" xr3:uid="{271AF272-3FFE-43F9-AB36-03CD1AD1C85E}" name="Kulugrupp" dataDxfId="568" totalsRowDxfId="567"/>
    <tableColumn id="3" xr3:uid="{F247D48F-0456-4064-BA4E-EDF442B28E57}" name="Eelarvekonto" dataDxfId="566" totalsRowDxfId="565"/>
    <tableColumn id="4" xr3:uid="{CCF4E58F-6049-4C6C-9F71-5D9F145F6D4E}" name="Eelarve liik ja objekt" dataDxfId="564" totalsRowDxfId="563"/>
    <tableColumn id="5" xr3:uid="{5C8CA288-0A0F-4419-BAA8-F6B57126DE77}" name="Eelarve projekt" dataDxfId="562" totalsRowDxfId="561"/>
    <tableColumn id="6" xr3:uid="{2164188D-21B4-4F01-9692-5806C24305C1}" name="Grant" dataDxfId="560" totalsRowDxfId="559"/>
    <tableColumn id="7" xr3:uid="{AFFD3A16-3E1D-4439-9DD4-FEC8AC00D8AF}" name="Tegevusala" dataDxfId="558" totalsRowDxfId="557"/>
    <tableColumn id="8" xr3:uid="{B6C66495-29D1-4DD8-A6B9-90FA3C223CB8}" name="Kuluüksus" dataDxfId="556" totalsRowDxfId="555"/>
    <tableColumn id="9" xr3:uid="{FBA7F92E-9A32-470D-BC38-F93550921AD9}" name="Esialgne eelarve" totalsRowFunction="sum" dataDxfId="554" totalsRowDxfId="553"/>
    <tableColumn id="10" xr3:uid="{8640E013-9869-4B39-BCE0-F9CBD50443C3}" name="Muudatused" totalsRowFunction="sum" dataDxfId="552" totalsRowDxfId="551"/>
    <tableColumn id="11" xr3:uid="{23EAE9E5-ADE6-44F9-9C40-27BF5691B613}" name="Muudetud eelarve" totalsRowFunction="sum" dataDxfId="550" totalsRowDxfId="549"/>
    <tableColumn id="12" xr3:uid="{AFCEFFED-E1FE-4832-9167-D5C6E972C93D}" name="Selgitused" dataDxfId="548" totalsRowDxfId="547"/>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4961D58D-F610-4542-9834-DE4266C97028}" name="Table112" displayName="Table112" ref="A2:L7" totalsRowCount="1" headerRowDxfId="546" dataDxfId="545" totalsRowDxfId="544">
  <autoFilter ref="A2:L6" xr:uid="{4961D58D-F610-4542-9834-DE4266C97028}"/>
  <sortState xmlns:xlrd2="http://schemas.microsoft.com/office/spreadsheetml/2017/richdata2" ref="A3:L6">
    <sortCondition ref="B2:B6"/>
  </sortState>
  <tableColumns count="12">
    <tableColumn id="1" xr3:uid="{98990847-D815-4F95-9F67-D8AF77C843C5}" name="Nimetus" dataDxfId="543" totalsRowDxfId="176"/>
    <tableColumn id="2" xr3:uid="{BF6D67A0-6C10-430D-A3C9-0D55F4F5016F}" name="Kulugrupp" dataDxfId="542" totalsRowDxfId="175"/>
    <tableColumn id="3" xr3:uid="{2DEF2B6D-E088-4573-AAD1-0C7666F9A5DC}" name="Eelarvekonto" dataDxfId="541" totalsRowDxfId="174"/>
    <tableColumn id="4" xr3:uid="{373DF14B-7566-4081-B7E2-4F9A65368AA5}" name="Eelarve liik ja objekt" dataDxfId="540" totalsRowDxfId="173"/>
    <tableColumn id="5" xr3:uid="{81882ECD-4899-4C0F-8FF5-F6162DE702D1}" name="Eelarve projekt" dataDxfId="539" totalsRowDxfId="172"/>
    <tableColumn id="6" xr3:uid="{64D8385A-4D93-4E25-B40A-F327BBB3CA3F}" name="Grant" dataDxfId="538" totalsRowDxfId="171"/>
    <tableColumn id="7" xr3:uid="{138F7AEC-187E-44F7-9A5E-A59494468203}" name="Tegevusala" dataDxfId="537" totalsRowDxfId="170"/>
    <tableColumn id="8" xr3:uid="{F87685C0-9609-44C2-A125-33A480267925}" name="Kuluüksus" dataDxfId="536" totalsRowDxfId="169"/>
    <tableColumn id="9" xr3:uid="{3E47207D-8600-41FF-A98A-F1F77B914466}" name="Esialgne eelarve" totalsRowFunction="sum" dataDxfId="535" totalsRowDxfId="168"/>
    <tableColumn id="10" xr3:uid="{0E0F24A2-EBAE-4E48-B79F-2A6109E0D0C3}" name="Muudatused" totalsRowFunction="sum" dataDxfId="534" totalsRowDxfId="167"/>
    <tableColumn id="11" xr3:uid="{6A7F7D52-BD45-4D14-9AED-986E6E8496D1}" name="Muudetud eelarve" totalsRowFunction="sum" dataDxfId="533" totalsRowDxfId="166"/>
    <tableColumn id="12" xr3:uid="{1CCB22C6-D649-4075-9FC7-A0FEC3E21ACD}" name="Selgitused" dataDxfId="532" totalsRowDxfId="165"/>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AAE325CA-79D3-41FC-A4EF-16843902F1BF}" name="Table114" displayName="Table114" ref="A2:L15" totalsRowCount="1" headerRowDxfId="531" dataDxfId="530" totalsRowDxfId="529">
  <autoFilter ref="A2:L14" xr:uid="{AAE325CA-79D3-41FC-A4EF-16843902F1BF}"/>
  <sortState xmlns:xlrd2="http://schemas.microsoft.com/office/spreadsheetml/2017/richdata2" ref="A3:L14">
    <sortCondition ref="E2:E14"/>
  </sortState>
  <tableColumns count="12">
    <tableColumn id="1" xr3:uid="{E12FB3B9-C8AF-4F28-907D-DEDA45668A38}" name="Nimetus" dataDxfId="528" totalsRowDxfId="527"/>
    <tableColumn id="2" xr3:uid="{04F00349-0312-45EE-8886-CDDB90C91DBC}" name="Kulugrupp" dataDxfId="526" totalsRowDxfId="525"/>
    <tableColumn id="3" xr3:uid="{076F899A-8DB7-4E86-821D-254FB66AAED2}" name="Eelarvekonto" dataDxfId="524" totalsRowDxfId="523"/>
    <tableColumn id="4" xr3:uid="{018134FD-3BF3-4C38-A233-6BC696DA84BD}" name="Eelarve liik ja objekt" dataDxfId="522" totalsRowDxfId="521"/>
    <tableColumn id="5" xr3:uid="{049F2C59-C368-4597-A486-9642D11A49BE}" name="Eelarve projekt" dataDxfId="520" totalsRowDxfId="519"/>
    <tableColumn id="6" xr3:uid="{ED7B2CD2-2D85-4623-8497-FC61E2533E15}" name="Grant" dataDxfId="518" totalsRowDxfId="517"/>
    <tableColumn id="7" xr3:uid="{2D8B53F2-4E5B-4E44-A518-40B63DFE5481}" name="Tegevusala" dataDxfId="516" totalsRowDxfId="515"/>
    <tableColumn id="8" xr3:uid="{608B9EAE-2BB4-4523-BE51-3ED9DEB9054B}" name="Kuluüksus" dataDxfId="514" totalsRowDxfId="513"/>
    <tableColumn id="9" xr3:uid="{AD47979A-55C3-450A-9B8A-BBF7A955AB45}" name="Esialgne eelarve" totalsRowFunction="sum" dataDxfId="512" totalsRowDxfId="511"/>
    <tableColumn id="10" xr3:uid="{D88A8E5D-479E-4701-A3AF-1EBF2E316397}" name="Muudatused" totalsRowFunction="sum" dataDxfId="510" totalsRowDxfId="509"/>
    <tableColumn id="11" xr3:uid="{731628DD-D97C-474F-803C-DEE3813B824F}" name="Muudetud eelarve" totalsRowFunction="sum" dataDxfId="508" totalsRowDxfId="507"/>
    <tableColumn id="12" xr3:uid="{D90B9624-787C-4F71-BC2B-D5E6E17EBAA8}" name="Selgitused" dataDxfId="506" totalsRowDxfId="505"/>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640CFC11-11F8-479D-B322-BDE8C8DE050F}" name="Table115" displayName="Table115" ref="A2:L10" totalsRowCount="1" headerRowDxfId="504" dataDxfId="503" totalsRowDxfId="502">
  <autoFilter ref="A2:L9" xr:uid="{640CFC11-11F8-479D-B322-BDE8C8DE050F}"/>
  <sortState xmlns:xlrd2="http://schemas.microsoft.com/office/spreadsheetml/2017/richdata2" ref="A3:L9">
    <sortCondition ref="B2:B9"/>
  </sortState>
  <tableColumns count="12">
    <tableColumn id="1" xr3:uid="{B5E67791-E559-4F3E-84AB-3C11063C659A}" name="Nimetus" dataDxfId="501" totalsRowDxfId="43"/>
    <tableColumn id="2" xr3:uid="{E94C89E7-5086-46C6-9E56-7AAD983801D0}" name="Kulugrupp" dataDxfId="500" totalsRowDxfId="42"/>
    <tableColumn id="3" xr3:uid="{BC476004-EC83-415A-B922-07A1394854D5}" name="Eelarvekonto" dataDxfId="499" totalsRowDxfId="41"/>
    <tableColumn id="4" xr3:uid="{354568BF-9DD0-41F0-B14D-E0C36BB470EC}" name="Eelarve liik ja objekt" dataDxfId="498" totalsRowDxfId="40"/>
    <tableColumn id="5" xr3:uid="{D79D7033-9794-4EC2-A235-0EAAAA9BCC8D}" name="Eelarve projekt" dataDxfId="497" totalsRowDxfId="39"/>
    <tableColumn id="6" xr3:uid="{B08175BD-BACC-4BDB-A04C-89267E9EC670}" name="Grant" dataDxfId="496" totalsRowDxfId="38"/>
    <tableColumn id="7" xr3:uid="{072B270F-CF65-413C-B215-BA39050603CC}" name="Tegevusala" dataDxfId="495" totalsRowDxfId="37"/>
    <tableColumn id="8" xr3:uid="{1D1D8096-0C12-4B1C-ACFD-B61DE0ACA0CC}" name="Kuluüksus" dataDxfId="494" totalsRowDxfId="36"/>
    <tableColumn id="9" xr3:uid="{F4AC9212-9EA9-47D5-BD45-C8854B149603}" name="Esialgne eelarve" totalsRowFunction="sum" dataDxfId="493" totalsRowDxfId="35"/>
    <tableColumn id="10" xr3:uid="{989EFD4B-F9F0-444C-92F1-95594000391D}" name="Muudatused" totalsRowFunction="sum" dataDxfId="492" totalsRowDxfId="34"/>
    <tableColumn id="11" xr3:uid="{AB397971-9184-4112-BD5E-EE28E33277CF}" name="Muudetud eelarve" totalsRowFunction="sum" dataDxfId="491" totalsRowDxfId="33"/>
    <tableColumn id="12" xr3:uid="{5B3DC7FE-6B13-45B2-A477-E957C2CCAA9C}" name="Selgitused" dataDxfId="490" totalsRowDxfId="32"/>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7B124666-606B-4E68-90ED-49725F03B6B7}" name="Table116" displayName="Table116" ref="A2:L7" totalsRowCount="1" headerRowDxfId="489" dataDxfId="488" totalsRowDxfId="487">
  <autoFilter ref="A2:L6" xr:uid="{7B124666-606B-4E68-90ED-49725F03B6B7}"/>
  <sortState xmlns:xlrd2="http://schemas.microsoft.com/office/spreadsheetml/2017/richdata2" ref="A3:L6">
    <sortCondition ref="B2:B6"/>
  </sortState>
  <tableColumns count="12">
    <tableColumn id="1" xr3:uid="{BC0E5B3E-735E-4598-82C4-D8982CFB9CC2}" name="Nimetus" dataDxfId="329" totalsRowDxfId="152"/>
    <tableColumn id="2" xr3:uid="{754E69AD-9B4B-4004-8AB3-3C70858DBE41}" name="Kulugrupp" dataDxfId="328" totalsRowDxfId="151"/>
    <tableColumn id="3" xr3:uid="{648C5339-F7BC-4BDC-9B2E-1230F583E3C7}" name="Eelarvekonto" dataDxfId="327" totalsRowDxfId="150"/>
    <tableColumn id="4" xr3:uid="{0D546FBC-8645-4B5B-8F6D-975FF779D932}" name="Eelarve liik ja objekt" dataDxfId="326" totalsRowDxfId="149"/>
    <tableColumn id="5" xr3:uid="{4118BFDE-6D46-4A10-A5D9-BC22A3F22CF5}" name="Eelarve projekt" dataDxfId="325" totalsRowDxfId="148"/>
    <tableColumn id="6" xr3:uid="{E1B5BBF0-08AD-4B95-A160-7C20EA39C1FB}" name="Grant" dataDxfId="324" totalsRowDxfId="147"/>
    <tableColumn id="7" xr3:uid="{34890D76-B0C1-42F4-B938-2189FB7B518A}" name="Tegevusala" dataDxfId="323" totalsRowDxfId="146"/>
    <tableColumn id="8" xr3:uid="{6D9CA8B4-A990-49A9-B580-04AF0D069CB4}" name="Kuluüksus" dataDxfId="322" totalsRowDxfId="145"/>
    <tableColumn id="9" xr3:uid="{68FA7ED2-712F-4E85-8CAC-B650712C5CBC}" name="Esialgne eelarve" totalsRowFunction="sum" dataDxfId="321" totalsRowDxfId="144"/>
    <tableColumn id="10" xr3:uid="{14795A02-0C50-47A7-B45A-52CA2084FB87}" name="Muudatused" totalsRowFunction="sum" dataDxfId="320" totalsRowDxfId="143"/>
    <tableColumn id="11" xr3:uid="{51F6ADDC-49ED-43DC-AA64-C419DACE4FA8}" name="Muudetud eelarve" totalsRowFunction="sum" dataDxfId="319" totalsRowDxfId="142"/>
    <tableColumn id="12" xr3:uid="{EC099098-1E78-49AB-9827-F8E89ACE29E6}" name="Selgitused" dataDxfId="318" totalsRowDxfId="141"/>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5A72AB0-CC68-4A09-B18C-1E556BC8557E}" name="Table14" displayName="Table14" ref="A2:L8" totalsRowCount="1" headerRowDxfId="455" dataDxfId="486" totalsRowDxfId="454" headerRowBorderDxfId="465" tableBorderDxfId="466">
  <autoFilter ref="A2:L7" xr:uid="{15A72AB0-CC68-4A09-B18C-1E556BC8557E}"/>
  <sortState xmlns:xlrd2="http://schemas.microsoft.com/office/spreadsheetml/2017/richdata2" ref="A3:L7">
    <sortCondition ref="B2:B7"/>
  </sortState>
  <tableColumns count="12">
    <tableColumn id="1" xr3:uid="{8CAA0DBA-9577-46B8-84C6-677BC9DFDA4D}" name="Nimetus" dataDxfId="464" totalsRowDxfId="250"/>
    <tableColumn id="2" xr3:uid="{86973D9D-0B9B-4CD7-B5BD-EAAB01B173E4}" name="Kulugrupp" dataDxfId="463" totalsRowDxfId="249"/>
    <tableColumn id="3" xr3:uid="{325375AA-2688-47A1-AA94-4753CD244AF7}" name="Eelarvekonto" dataDxfId="462" totalsRowDxfId="248"/>
    <tableColumn id="4" xr3:uid="{CA7C08A3-B2A4-4B80-80A7-E257A697A27E}" name="Eelarve liik ja objekt" dataDxfId="461" totalsRowDxfId="247"/>
    <tableColumn id="5" xr3:uid="{B1C0CA6E-531D-4EC6-BE7C-C59F1E28BD7B}" name="Eelarve projekt" dataDxfId="460" totalsRowDxfId="246"/>
    <tableColumn id="6" xr3:uid="{2A32B833-3D86-498F-9235-9CC4C3278DE8}" name="Grant" dataDxfId="459" totalsRowDxfId="245"/>
    <tableColumn id="7" xr3:uid="{0F1004D5-4577-4FFF-9419-C5ED8E199359}" name="Tegevusala" dataDxfId="458" totalsRowDxfId="244"/>
    <tableColumn id="8" xr3:uid="{8834C411-8565-42FE-876E-348ACE2EFAFD}" name="Kuluüksus" dataDxfId="457" totalsRowDxfId="243"/>
    <tableColumn id="9" xr3:uid="{8BAF2746-A48C-4260-AA4D-15BF837E7551}" name="Esialgne eelarve" totalsRowFunction="sum" dataDxfId="453" totalsRowDxfId="242"/>
    <tableColumn id="10" xr3:uid="{9E80B5EA-B648-4874-B345-4A0CEC476F95}" name="Muudatused" totalsRowFunction="sum" dataDxfId="456" totalsRowDxfId="241"/>
    <tableColumn id="11" xr3:uid="{9FDD5E71-9E97-4734-9E04-EC5334ECC272}" name="Muudetud eelarve" totalsRowFunction="sum" dataDxfId="451" totalsRowDxfId="240"/>
    <tableColumn id="12" xr3:uid="{FEAA176E-4731-4149-BD32-18D5626BBDFC}" name="Selgitused" dataDxfId="450" totalsRowDxfId="239"/>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79EFBC7D-3804-4E8A-9DB3-D93B2A15A4EE}" name="Table19" displayName="Table19" ref="A2:L13" totalsRowCount="1" headerRowDxfId="452" dataDxfId="484" totalsRowDxfId="485">
  <autoFilter ref="A2:L12" xr:uid="{79EFBC7D-3804-4E8A-9DB3-D93B2A15A4EE}"/>
  <sortState xmlns:xlrd2="http://schemas.microsoft.com/office/spreadsheetml/2017/richdata2" ref="A3:L12">
    <sortCondition ref="B2:B12"/>
  </sortState>
  <tableColumns count="12">
    <tableColumn id="1" xr3:uid="{5CC75E5C-C78D-49F2-8FFF-B120C3E97D7A}" name="Nimetus" dataDxfId="238" totalsRowDxfId="226"/>
    <tableColumn id="2" xr3:uid="{AEBAE657-B149-468E-8B78-6BCC8FDF3CA3}" name="Kulugrupp" dataDxfId="237" totalsRowDxfId="225"/>
    <tableColumn id="3" xr3:uid="{B67B8941-CEB2-4162-B36D-8C409FBCD7AD}" name="Eelarvekonto" dataDxfId="236" totalsRowDxfId="224"/>
    <tableColumn id="4" xr3:uid="{0D26FE72-C133-42FB-AF4C-9126A481C3C4}" name="Eelarve liik ja objekt" dataDxfId="235" totalsRowDxfId="223"/>
    <tableColumn id="5" xr3:uid="{DA9F64BC-6ADF-47D1-870F-8D5B1E536CC3}" name="Eelarve projekt" dataDxfId="234" totalsRowDxfId="222"/>
    <tableColumn id="6" xr3:uid="{44BEA5E4-7A35-4CE7-A82A-BAAB1303F451}" name="Grant" dataDxfId="233" totalsRowDxfId="221"/>
    <tableColumn id="7" xr3:uid="{35F770FD-A65E-4F11-B874-60F42BB7F918}" name="Tegevusala" dataDxfId="232" totalsRowDxfId="220"/>
    <tableColumn id="8" xr3:uid="{D8B00D6A-9EF0-4A41-B643-E8ABB4357778}" name="Kuluüksus" dataDxfId="231" totalsRowDxfId="219"/>
    <tableColumn id="9" xr3:uid="{177A94EA-6C14-4543-9F77-097918A51B7C}" name="Esialgne eelarve" totalsRowFunction="sum" dataDxfId="230" totalsRowDxfId="218"/>
    <tableColumn id="10" xr3:uid="{F29B705C-4DD2-4850-91FA-5A508954DA10}" name="Muudatused" totalsRowFunction="sum" dataDxfId="229" totalsRowDxfId="217"/>
    <tableColumn id="11" xr3:uid="{4DD28524-5E19-41F9-8271-6D40EBB8A66E}" name="Muudetud eelarve" totalsRowFunction="sum" dataDxfId="228" totalsRowDxfId="216"/>
    <tableColumn id="12" xr3:uid="{FE4CE461-7AF7-4C06-862F-EF9DEDF6BABD}" name="Selgitused" dataDxfId="227" totalsRowDxfId="215"/>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1" Type="http://schemas.openxmlformats.org/officeDocument/2006/relationships/table" Target="../tables/table10.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13.xml"/></Relationships>
</file>

<file path=xl/worksheets/_rels/sheet14.xml.rels><?xml version="1.0" encoding="UTF-8" standalone="yes"?>
<Relationships xmlns="http://schemas.openxmlformats.org/package/2006/relationships"><Relationship Id="rId1" Type="http://schemas.openxmlformats.org/officeDocument/2006/relationships/table" Target="../tables/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16.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7.xml"/></Relationships>
</file>

<file path=xl/worksheets/_rels/sheet18.xml.rels><?xml version="1.0" encoding="UTF-8" standalone="yes"?>
<Relationships xmlns="http://schemas.openxmlformats.org/package/2006/relationships"><Relationship Id="rId1" Type="http://schemas.openxmlformats.org/officeDocument/2006/relationships/table" Target="../tables/table18.xml"/></Relationships>
</file>

<file path=xl/worksheets/_rels/sheet19.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0.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1.xml.rels><?xml version="1.0" encoding="UTF-8" standalone="yes"?>
<Relationships xmlns="http://schemas.openxmlformats.org/package/2006/relationships"><Relationship Id="rId1" Type="http://schemas.openxmlformats.org/officeDocument/2006/relationships/table" Target="../tables/table21.xml"/></Relationships>
</file>

<file path=xl/worksheets/_rels/sheet22.xml.rels><?xml version="1.0" encoding="UTF-8" standalone="yes"?>
<Relationships xmlns="http://schemas.openxmlformats.org/package/2006/relationships"><Relationship Id="rId1" Type="http://schemas.openxmlformats.org/officeDocument/2006/relationships/table" Target="../tables/table2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_rels/sheet6.xml.rels><?xml version="1.0" encoding="UTF-8" standalone="yes"?>
<Relationships xmlns="http://schemas.openxmlformats.org/package/2006/relationships"><Relationship Id="rId1" Type="http://schemas.openxmlformats.org/officeDocument/2006/relationships/table" Target="../tables/table6.xml"/></Relationships>
</file>

<file path=xl/worksheets/_rels/sheet7.xml.rels><?xml version="1.0" encoding="UTF-8" standalone="yes"?>
<Relationships xmlns="http://schemas.openxmlformats.org/package/2006/relationships"><Relationship Id="rId1" Type="http://schemas.openxmlformats.org/officeDocument/2006/relationships/table" Target="../tables/table7.xml"/></Relationships>
</file>

<file path=xl/worksheets/_rels/sheet8.xml.rels><?xml version="1.0" encoding="UTF-8" standalone="yes"?>
<Relationships xmlns="http://schemas.openxmlformats.org/package/2006/relationships"><Relationship Id="rId1" Type="http://schemas.openxmlformats.org/officeDocument/2006/relationships/table" Target="../tables/table8.xml"/></Relationships>
</file>

<file path=xl/worksheets/_rels/sheet9.xml.rels><?xml version="1.0" encoding="UTF-8" standalone="yes"?>
<Relationships xmlns="http://schemas.openxmlformats.org/package/2006/relationships"><Relationship Id="rId1" Type="http://schemas.openxmlformats.org/officeDocument/2006/relationships/table" Target="../tables/table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L15"/>
  <sheetViews>
    <sheetView tabSelected="1" workbookViewId="0">
      <pane ySplit="2" topLeftCell="A3" activePane="bottomLeft" state="frozen"/>
      <selection pane="bottomLeft" activeCell="A2" sqref="A2"/>
    </sheetView>
  </sheetViews>
  <sheetFormatPr defaultRowHeight="13" x14ac:dyDescent="0.3"/>
  <cols>
    <col min="1" max="1" width="21.08984375" style="3" customWidth="1"/>
    <col min="2" max="2" width="12.1796875" style="3" bestFit="1" customWidth="1"/>
    <col min="3" max="3" width="14.6328125" style="3" bestFit="1" customWidth="1"/>
    <col min="4" max="4" width="11.08984375" style="3" customWidth="1"/>
    <col min="5" max="5" width="15.90625" style="3" bestFit="1" customWidth="1"/>
    <col min="6" max="6" width="19.36328125" style="3" bestFit="1" customWidth="1"/>
    <col min="7" max="7" width="7.1796875" style="3" customWidth="1"/>
    <col min="8" max="8" width="11.6328125" style="3" bestFit="1" customWidth="1"/>
    <col min="9" max="9" width="9.1796875" style="3" bestFit="1" customWidth="1"/>
    <col min="10" max="10" width="10.90625" style="3" customWidth="1"/>
    <col min="11" max="11" width="12.26953125" style="3" customWidth="1"/>
    <col min="12" max="12" width="73.81640625" style="3" customWidth="1"/>
    <col min="13" max="16384" width="8.7265625" style="3"/>
  </cols>
  <sheetData>
    <row r="1" spans="1:12" x14ac:dyDescent="0.3">
      <c r="A1" s="2" t="s">
        <v>112</v>
      </c>
      <c r="L1" s="2" t="s">
        <v>113</v>
      </c>
    </row>
    <row r="2" spans="1:12" ht="26" x14ac:dyDescent="0.3">
      <c r="A2" s="12" t="s">
        <v>0</v>
      </c>
      <c r="B2" s="12" t="s">
        <v>1</v>
      </c>
      <c r="C2" s="12" t="s">
        <v>128</v>
      </c>
      <c r="D2" s="12" t="s">
        <v>2</v>
      </c>
      <c r="E2" s="12" t="s">
        <v>3</v>
      </c>
      <c r="F2" s="12" t="s">
        <v>4</v>
      </c>
      <c r="G2" s="12" t="s">
        <v>5</v>
      </c>
      <c r="H2" s="12" t="s">
        <v>6</v>
      </c>
      <c r="I2" s="12" t="s">
        <v>114</v>
      </c>
      <c r="J2" s="12" t="s">
        <v>7</v>
      </c>
      <c r="K2" s="12" t="s">
        <v>163</v>
      </c>
      <c r="L2" s="12" t="s">
        <v>162</v>
      </c>
    </row>
    <row r="3" spans="1:12" ht="26" x14ac:dyDescent="0.3">
      <c r="A3" s="8" t="s">
        <v>39</v>
      </c>
      <c r="B3" s="8" t="s">
        <v>40</v>
      </c>
      <c r="C3" s="8" t="s">
        <v>41</v>
      </c>
      <c r="D3" s="8" t="s">
        <v>19</v>
      </c>
      <c r="E3" s="8" t="s">
        <v>21</v>
      </c>
      <c r="F3" s="8" t="s">
        <v>21</v>
      </c>
      <c r="G3" s="8" t="s">
        <v>13</v>
      </c>
      <c r="H3" s="8" t="s">
        <v>28</v>
      </c>
      <c r="I3" s="9">
        <v>440</v>
      </c>
      <c r="J3" s="9">
        <v>440</v>
      </c>
      <c r="K3" s="9">
        <v>880</v>
      </c>
      <c r="L3" s="6" t="s">
        <v>117</v>
      </c>
    </row>
    <row r="4" spans="1:12" x14ac:dyDescent="0.3">
      <c r="A4" s="8" t="s">
        <v>42</v>
      </c>
      <c r="B4" s="8" t="s">
        <v>40</v>
      </c>
      <c r="C4" s="8" t="s">
        <v>43</v>
      </c>
      <c r="D4" s="8" t="s">
        <v>19</v>
      </c>
      <c r="E4" s="8" t="s">
        <v>21</v>
      </c>
      <c r="F4" s="8" t="s">
        <v>21</v>
      </c>
      <c r="G4" s="8" t="s">
        <v>13</v>
      </c>
      <c r="H4" s="8" t="s">
        <v>28</v>
      </c>
      <c r="I4" s="9">
        <v>275</v>
      </c>
      <c r="J4" s="9"/>
      <c r="K4" s="9">
        <v>275</v>
      </c>
      <c r="L4" s="10" t="s">
        <v>21</v>
      </c>
    </row>
    <row r="5" spans="1:12" x14ac:dyDescent="0.3">
      <c r="A5" s="8" t="s">
        <v>34</v>
      </c>
      <c r="B5" s="8" t="s">
        <v>17</v>
      </c>
      <c r="C5" s="8" t="s">
        <v>35</v>
      </c>
      <c r="D5" s="8" t="s">
        <v>19</v>
      </c>
      <c r="E5" s="8" t="s">
        <v>36</v>
      </c>
      <c r="F5" s="8" t="s">
        <v>21</v>
      </c>
      <c r="G5" s="8" t="s">
        <v>13</v>
      </c>
      <c r="H5" s="8" t="s">
        <v>22</v>
      </c>
      <c r="I5" s="9">
        <v>7000</v>
      </c>
      <c r="J5" s="9"/>
      <c r="K5" s="9">
        <v>7000</v>
      </c>
      <c r="L5" s="10"/>
    </row>
    <row r="6" spans="1:12" x14ac:dyDescent="0.3">
      <c r="A6" s="8" t="s">
        <v>16</v>
      </c>
      <c r="B6" s="8" t="s">
        <v>17</v>
      </c>
      <c r="C6" s="8" t="s">
        <v>18</v>
      </c>
      <c r="D6" s="8" t="s">
        <v>19</v>
      </c>
      <c r="E6" s="8" t="s">
        <v>20</v>
      </c>
      <c r="F6" s="8" t="s">
        <v>21</v>
      </c>
      <c r="G6" s="8" t="s">
        <v>13</v>
      </c>
      <c r="H6" s="8" t="s">
        <v>22</v>
      </c>
      <c r="I6" s="9">
        <v>51295</v>
      </c>
      <c r="J6" s="9">
        <v>-25295</v>
      </c>
      <c r="K6" s="9">
        <v>26000</v>
      </c>
      <c r="L6" s="10" t="s">
        <v>115</v>
      </c>
    </row>
    <row r="7" spans="1:12" x14ac:dyDescent="0.3">
      <c r="A7" s="8" t="s">
        <v>44</v>
      </c>
      <c r="B7" s="8" t="s">
        <v>17</v>
      </c>
      <c r="C7" s="8" t="s">
        <v>45</v>
      </c>
      <c r="D7" s="8" t="s">
        <v>46</v>
      </c>
      <c r="E7" s="8" t="s">
        <v>47</v>
      </c>
      <c r="F7" s="8" t="s">
        <v>21</v>
      </c>
      <c r="G7" s="8" t="s">
        <v>13</v>
      </c>
      <c r="H7" s="8" t="s">
        <v>22</v>
      </c>
      <c r="I7" s="9">
        <v>0.1</v>
      </c>
      <c r="J7" s="9">
        <v>100000</v>
      </c>
      <c r="K7" s="9">
        <v>100000.1</v>
      </c>
      <c r="L7" s="11" t="s">
        <v>118</v>
      </c>
    </row>
    <row r="8" spans="1:12" x14ac:dyDescent="0.3">
      <c r="A8" s="8" t="s">
        <v>48</v>
      </c>
      <c r="B8" s="8" t="s">
        <v>17</v>
      </c>
      <c r="C8" s="8" t="s">
        <v>10</v>
      </c>
      <c r="D8" s="8" t="s">
        <v>19</v>
      </c>
      <c r="E8" s="8" t="s">
        <v>49</v>
      </c>
      <c r="F8" s="8" t="s">
        <v>21</v>
      </c>
      <c r="G8" s="8" t="s">
        <v>13</v>
      </c>
      <c r="H8" s="8" t="s">
        <v>28</v>
      </c>
      <c r="I8" s="9">
        <v>0.1</v>
      </c>
      <c r="J8" s="9">
        <v>12850</v>
      </c>
      <c r="K8" s="9">
        <v>12850.1</v>
      </c>
      <c r="L8" s="10" t="s">
        <v>125</v>
      </c>
    </row>
    <row r="9" spans="1:12" ht="26" x14ac:dyDescent="0.3">
      <c r="A9" s="8" t="s">
        <v>30</v>
      </c>
      <c r="B9" s="8" t="s">
        <v>17</v>
      </c>
      <c r="C9" s="8" t="s">
        <v>31</v>
      </c>
      <c r="D9" s="8" t="s">
        <v>32</v>
      </c>
      <c r="E9" s="8" t="s">
        <v>33</v>
      </c>
      <c r="F9" s="8" t="s">
        <v>21</v>
      </c>
      <c r="G9" s="8" t="s">
        <v>13</v>
      </c>
      <c r="H9" s="8" t="s">
        <v>22</v>
      </c>
      <c r="I9" s="9">
        <v>23850</v>
      </c>
      <c r="J9" s="9">
        <v>123297</v>
      </c>
      <c r="K9" s="9">
        <v>147147</v>
      </c>
      <c r="L9" s="10" t="s">
        <v>116</v>
      </c>
    </row>
    <row r="10" spans="1:12" x14ac:dyDescent="0.3">
      <c r="A10" s="8" t="s">
        <v>16</v>
      </c>
      <c r="B10" s="8" t="s">
        <v>17</v>
      </c>
      <c r="C10" s="8" t="s">
        <v>18</v>
      </c>
      <c r="D10" s="8" t="s">
        <v>19</v>
      </c>
      <c r="E10" s="8" t="s">
        <v>33</v>
      </c>
      <c r="F10" s="8" t="s">
        <v>21</v>
      </c>
      <c r="G10" s="8" t="s">
        <v>13</v>
      </c>
      <c r="H10" s="8" t="s">
        <v>22</v>
      </c>
      <c r="I10" s="9">
        <v>0.1</v>
      </c>
      <c r="J10" s="9">
        <v>13850</v>
      </c>
      <c r="K10" s="9">
        <v>13850.1</v>
      </c>
      <c r="L10" s="10" t="s">
        <v>90</v>
      </c>
    </row>
    <row r="11" spans="1:12" x14ac:dyDescent="0.3">
      <c r="A11" s="8" t="s">
        <v>366</v>
      </c>
      <c r="B11" s="8" t="s">
        <v>37</v>
      </c>
      <c r="C11" s="8" t="s">
        <v>38</v>
      </c>
      <c r="D11" s="8" t="s">
        <v>19</v>
      </c>
      <c r="E11" s="8" t="s">
        <v>21</v>
      </c>
      <c r="F11" s="8" t="s">
        <v>21</v>
      </c>
      <c r="G11" s="8" t="s">
        <v>13</v>
      </c>
      <c r="H11" s="8" t="s">
        <v>22</v>
      </c>
      <c r="I11" s="9">
        <f>4000+12000</f>
        <v>16000</v>
      </c>
      <c r="J11" s="9">
        <v>-12000</v>
      </c>
      <c r="K11" s="9">
        <v>4000</v>
      </c>
      <c r="L11" s="10" t="s">
        <v>365</v>
      </c>
    </row>
    <row r="12" spans="1:12" x14ac:dyDescent="0.3">
      <c r="A12" s="8" t="s">
        <v>8</v>
      </c>
      <c r="B12" s="8" t="s">
        <v>9</v>
      </c>
      <c r="C12" s="8" t="s">
        <v>10</v>
      </c>
      <c r="D12" s="8" t="s">
        <v>11</v>
      </c>
      <c r="E12" s="8" t="s">
        <v>21</v>
      </c>
      <c r="F12" s="8" t="s">
        <v>23</v>
      </c>
      <c r="G12" s="8" t="s">
        <v>24</v>
      </c>
      <c r="H12" s="8" t="s">
        <v>25</v>
      </c>
      <c r="I12" s="9">
        <v>48168</v>
      </c>
      <c r="J12" s="9"/>
      <c r="K12" s="9">
        <v>48168</v>
      </c>
      <c r="L12" s="10" t="s">
        <v>26</v>
      </c>
    </row>
    <row r="13" spans="1:12" x14ac:dyDescent="0.3">
      <c r="A13" s="8" t="s">
        <v>8</v>
      </c>
      <c r="B13" s="8" t="s">
        <v>9</v>
      </c>
      <c r="C13" s="8" t="s">
        <v>10</v>
      </c>
      <c r="D13" s="8" t="s">
        <v>11</v>
      </c>
      <c r="E13" s="8" t="s">
        <v>21</v>
      </c>
      <c r="F13" s="8" t="s">
        <v>27</v>
      </c>
      <c r="G13" s="8" t="s">
        <v>13</v>
      </c>
      <c r="H13" s="8" t="s">
        <v>28</v>
      </c>
      <c r="I13" s="9">
        <v>44996</v>
      </c>
      <c r="J13" s="9"/>
      <c r="K13" s="9">
        <v>44996</v>
      </c>
      <c r="L13" s="10" t="s">
        <v>29</v>
      </c>
    </row>
    <row r="14" spans="1:12" x14ac:dyDescent="0.3">
      <c r="A14" s="8" t="s">
        <v>8</v>
      </c>
      <c r="B14" s="8" t="s">
        <v>9</v>
      </c>
      <c r="C14" s="8" t="s">
        <v>10</v>
      </c>
      <c r="D14" s="8" t="s">
        <v>11</v>
      </c>
      <c r="E14" s="8"/>
      <c r="F14" s="8" t="s">
        <v>12</v>
      </c>
      <c r="G14" s="8" t="s">
        <v>13</v>
      </c>
      <c r="H14" s="8" t="s">
        <v>14</v>
      </c>
      <c r="I14" s="9">
        <v>52000</v>
      </c>
      <c r="J14" s="8"/>
      <c r="K14" s="9">
        <v>52000</v>
      </c>
      <c r="L14" s="10" t="s">
        <v>15</v>
      </c>
    </row>
    <row r="15" spans="1:12" x14ac:dyDescent="0.3">
      <c r="I15" s="4">
        <f>SUBTOTAL(109,Table1[Esialgne eelarve])</f>
        <v>244024.3</v>
      </c>
      <c r="J15" s="4">
        <f>SUBTOTAL(109,Table1[Muudatused])</f>
        <v>213142</v>
      </c>
      <c r="K15" s="4">
        <f>SUBTOTAL(109,Table1[Muudetud eelarve])</f>
        <v>457166.3</v>
      </c>
      <c r="L15" s="5"/>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E558E-D0EB-41A9-9513-F3E08FA43166}">
  <sheetPr>
    <tabColor rgb="FF92D050"/>
  </sheetPr>
  <dimension ref="A1:L9"/>
  <sheetViews>
    <sheetView workbookViewId="0">
      <selection activeCell="A2" sqref="A2"/>
    </sheetView>
  </sheetViews>
  <sheetFormatPr defaultRowHeight="13" x14ac:dyDescent="0.3"/>
  <cols>
    <col min="1" max="1" width="18.26953125" style="3" bestFit="1" customWidth="1"/>
    <col min="2" max="2" width="13.26953125" style="3" bestFit="1" customWidth="1"/>
    <col min="3" max="3" width="12.81640625" style="3" bestFit="1" customWidth="1"/>
    <col min="4" max="4" width="10.90625" style="3" bestFit="1" customWidth="1"/>
    <col min="5" max="5" width="14.72656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41.81640625" style="13" bestFit="1" customWidth="1"/>
    <col min="13" max="16384" width="8.7265625" style="3"/>
  </cols>
  <sheetData>
    <row r="1" spans="1:12" x14ac:dyDescent="0.3">
      <c r="A1" s="15" t="s">
        <v>315</v>
      </c>
      <c r="L1" s="14" t="s">
        <v>316</v>
      </c>
    </row>
    <row r="2" spans="1:12" s="25" customFormat="1" ht="39" x14ac:dyDescent="0.35">
      <c r="A2" s="12" t="s">
        <v>0</v>
      </c>
      <c r="B2" s="12" t="s">
        <v>1</v>
      </c>
      <c r="C2" s="12" t="s">
        <v>128</v>
      </c>
      <c r="D2" s="12" t="s">
        <v>2</v>
      </c>
      <c r="E2" s="12" t="s">
        <v>3</v>
      </c>
      <c r="F2" s="12" t="s">
        <v>4</v>
      </c>
      <c r="G2" s="12" t="s">
        <v>5</v>
      </c>
      <c r="H2" s="12" t="s">
        <v>6</v>
      </c>
      <c r="I2" s="12" t="s">
        <v>114</v>
      </c>
      <c r="J2" s="12" t="s">
        <v>7</v>
      </c>
      <c r="K2" s="12" t="s">
        <v>163</v>
      </c>
      <c r="L2" s="12" t="s">
        <v>162</v>
      </c>
    </row>
    <row r="3" spans="1:12" x14ac:dyDescent="0.3">
      <c r="A3" s="8" t="s">
        <v>39</v>
      </c>
      <c r="B3" s="8" t="s">
        <v>40</v>
      </c>
      <c r="C3" s="8" t="s">
        <v>41</v>
      </c>
      <c r="D3" s="8" t="s">
        <v>19</v>
      </c>
      <c r="E3" s="8"/>
      <c r="F3" s="8"/>
      <c r="G3" s="8" t="s">
        <v>13</v>
      </c>
      <c r="H3" s="8" t="s">
        <v>188</v>
      </c>
      <c r="I3" s="9">
        <v>1320</v>
      </c>
      <c r="J3" s="8"/>
      <c r="K3" s="9">
        <v>1320</v>
      </c>
      <c r="L3" s="24" t="s">
        <v>124</v>
      </c>
    </row>
    <row r="4" spans="1:12" x14ac:dyDescent="0.3">
      <c r="A4" s="8" t="s">
        <v>42</v>
      </c>
      <c r="B4" s="8" t="s">
        <v>40</v>
      </c>
      <c r="C4" s="8" t="s">
        <v>43</v>
      </c>
      <c r="D4" s="8" t="s">
        <v>19</v>
      </c>
      <c r="E4" s="8"/>
      <c r="F4" s="8"/>
      <c r="G4" s="8" t="s">
        <v>13</v>
      </c>
      <c r="H4" s="8" t="s">
        <v>188</v>
      </c>
      <c r="I4" s="9">
        <v>1751</v>
      </c>
      <c r="J4" s="8"/>
      <c r="K4" s="9">
        <v>1751</v>
      </c>
      <c r="L4" s="24" t="s">
        <v>147</v>
      </c>
    </row>
    <row r="5" spans="1:12" x14ac:dyDescent="0.3">
      <c r="A5" s="8" t="s">
        <v>189</v>
      </c>
      <c r="B5" s="8" t="s">
        <v>17</v>
      </c>
      <c r="C5" s="8" t="s">
        <v>65</v>
      </c>
      <c r="D5" s="8" t="s">
        <v>190</v>
      </c>
      <c r="E5" s="8" t="s">
        <v>191</v>
      </c>
      <c r="F5" s="8"/>
      <c r="G5" s="8" t="s">
        <v>13</v>
      </c>
      <c r="H5" s="8" t="s">
        <v>188</v>
      </c>
      <c r="I5" s="9">
        <v>2500</v>
      </c>
      <c r="J5" s="8"/>
      <c r="K5" s="9">
        <v>2500</v>
      </c>
      <c r="L5" s="8" t="s">
        <v>346</v>
      </c>
    </row>
    <row r="6" spans="1:12" ht="52" x14ac:dyDescent="0.3">
      <c r="A6" s="8" t="s">
        <v>189</v>
      </c>
      <c r="B6" s="8" t="s">
        <v>17</v>
      </c>
      <c r="C6" s="8" t="s">
        <v>65</v>
      </c>
      <c r="D6" s="8" t="s">
        <v>190</v>
      </c>
      <c r="E6" s="8" t="s">
        <v>192</v>
      </c>
      <c r="F6" s="8"/>
      <c r="G6" s="8" t="s">
        <v>13</v>
      </c>
      <c r="H6" s="8" t="s">
        <v>188</v>
      </c>
      <c r="I6" s="9">
        <v>40289</v>
      </c>
      <c r="J6" s="9">
        <v>3052</v>
      </c>
      <c r="K6" s="9">
        <v>43341</v>
      </c>
      <c r="L6" s="11" t="s">
        <v>347</v>
      </c>
    </row>
    <row r="7" spans="1:12" x14ac:dyDescent="0.3">
      <c r="A7" s="8" t="s">
        <v>193</v>
      </c>
      <c r="B7" s="8" t="s">
        <v>17</v>
      </c>
      <c r="C7" s="8" t="s">
        <v>51</v>
      </c>
      <c r="D7" s="8" t="s">
        <v>19</v>
      </c>
      <c r="E7" s="8" t="s">
        <v>194</v>
      </c>
      <c r="F7" s="8"/>
      <c r="G7" s="8" t="s">
        <v>13</v>
      </c>
      <c r="H7" s="8" t="s">
        <v>188</v>
      </c>
      <c r="I7" s="9">
        <v>570000</v>
      </c>
      <c r="J7" s="9"/>
      <c r="K7" s="9">
        <v>570000</v>
      </c>
      <c r="L7" s="11" t="s">
        <v>195</v>
      </c>
    </row>
    <row r="8" spans="1:12" x14ac:dyDescent="0.3">
      <c r="A8" s="8" t="s">
        <v>48</v>
      </c>
      <c r="B8" s="8" t="s">
        <v>17</v>
      </c>
      <c r="C8" s="8" t="s">
        <v>10</v>
      </c>
      <c r="D8" s="8" t="s">
        <v>19</v>
      </c>
      <c r="E8" s="8" t="s">
        <v>196</v>
      </c>
      <c r="F8" s="8"/>
      <c r="G8" s="8" t="s">
        <v>13</v>
      </c>
      <c r="H8" s="8" t="s">
        <v>188</v>
      </c>
      <c r="I8" s="9">
        <v>0.1</v>
      </c>
      <c r="J8" s="9">
        <v>20200</v>
      </c>
      <c r="K8" s="9">
        <v>20200.099999999999</v>
      </c>
      <c r="L8" s="24" t="s">
        <v>125</v>
      </c>
    </row>
    <row r="9" spans="1:12" x14ac:dyDescent="0.3">
      <c r="I9" s="4">
        <f>SUBTOTAL(109,Table111[Esialgne eelarve])</f>
        <v>615860.1</v>
      </c>
      <c r="J9" s="4">
        <f>SUBTOTAL(109,Table111[Muudatused])</f>
        <v>23252</v>
      </c>
      <c r="K9" s="4">
        <f>SUBTOTAL(109,Table111[Muudetud eelarve])</f>
        <v>639112.1</v>
      </c>
    </row>
  </sheetData>
  <pageMargins left="0.7" right="0.7" top="0.75" bottom="0.75" header="0.3" footer="0.3"/>
  <tableParts count="1">
    <tablePart r:id="rId1"/>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BD91D4-0D32-4C36-873A-2E4040950646}">
  <sheetPr>
    <tabColor rgb="FF92D050"/>
  </sheetPr>
  <dimension ref="A1:L34"/>
  <sheetViews>
    <sheetView workbookViewId="0">
      <pane ySplit="2" topLeftCell="A19" activePane="bottomLeft" state="frozen"/>
      <selection pane="bottomLeft" activeCell="B2" sqref="B2"/>
    </sheetView>
  </sheetViews>
  <sheetFormatPr defaultRowHeight="13" x14ac:dyDescent="0.3"/>
  <cols>
    <col min="1" max="1" width="18.7265625" style="5" customWidth="1"/>
    <col min="2" max="2" width="17.26953125" style="3" bestFit="1" customWidth="1"/>
    <col min="3" max="3" width="12.81640625" style="3" bestFit="1" customWidth="1"/>
    <col min="4" max="4" width="10.90625" style="3" bestFit="1" customWidth="1"/>
    <col min="5" max="5" width="22" style="3"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80.90625" style="13" customWidth="1"/>
    <col min="13" max="16384" width="8.7265625" style="3"/>
  </cols>
  <sheetData>
    <row r="1" spans="1:12" x14ac:dyDescent="0.3">
      <c r="A1" s="16" t="s">
        <v>317</v>
      </c>
      <c r="L1" s="14" t="s">
        <v>318</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41" t="s">
        <v>39</v>
      </c>
      <c r="B3" s="8" t="s">
        <v>40</v>
      </c>
      <c r="C3" s="8" t="s">
        <v>41</v>
      </c>
      <c r="D3" s="8" t="s">
        <v>19</v>
      </c>
      <c r="E3" s="8"/>
      <c r="F3" s="8"/>
      <c r="G3" s="8" t="s">
        <v>13</v>
      </c>
      <c r="H3" s="8" t="s">
        <v>197</v>
      </c>
      <c r="I3" s="36">
        <v>616</v>
      </c>
      <c r="J3" s="35"/>
      <c r="K3" s="36">
        <v>616</v>
      </c>
      <c r="L3" s="24" t="s">
        <v>124</v>
      </c>
    </row>
    <row r="4" spans="1:12" x14ac:dyDescent="0.3">
      <c r="A4" s="41" t="s">
        <v>42</v>
      </c>
      <c r="B4" s="8" t="s">
        <v>40</v>
      </c>
      <c r="C4" s="8" t="s">
        <v>43</v>
      </c>
      <c r="D4" s="8" t="s">
        <v>19</v>
      </c>
      <c r="E4" s="8"/>
      <c r="F4" s="8"/>
      <c r="G4" s="8" t="s">
        <v>13</v>
      </c>
      <c r="H4" s="8" t="s">
        <v>197</v>
      </c>
      <c r="I4" s="36">
        <v>943</v>
      </c>
      <c r="J4" s="35"/>
      <c r="K4" s="36">
        <v>943</v>
      </c>
      <c r="L4" s="24" t="s">
        <v>147</v>
      </c>
    </row>
    <row r="5" spans="1:12" ht="39" x14ac:dyDescent="0.3">
      <c r="A5" s="41" t="s">
        <v>48</v>
      </c>
      <c r="B5" s="8" t="s">
        <v>17</v>
      </c>
      <c r="C5" s="8" t="s">
        <v>10</v>
      </c>
      <c r="D5" s="8" t="s">
        <v>19</v>
      </c>
      <c r="E5" s="8" t="s">
        <v>199</v>
      </c>
      <c r="F5" s="8"/>
      <c r="G5" s="8" t="s">
        <v>13</v>
      </c>
      <c r="H5" s="8" t="s">
        <v>177</v>
      </c>
      <c r="I5" s="36">
        <v>28028</v>
      </c>
      <c r="J5" s="36">
        <v>-7094</v>
      </c>
      <c r="K5" s="36">
        <v>20934</v>
      </c>
      <c r="L5" s="39" t="s">
        <v>387</v>
      </c>
    </row>
    <row r="6" spans="1:12" ht="41.5" customHeight="1" x14ac:dyDescent="0.3">
      <c r="A6" s="41" t="s">
        <v>48</v>
      </c>
      <c r="B6" s="8" t="s">
        <v>17</v>
      </c>
      <c r="C6" s="8" t="s">
        <v>10</v>
      </c>
      <c r="D6" s="8" t="s">
        <v>19</v>
      </c>
      <c r="E6" s="8" t="s">
        <v>200</v>
      </c>
      <c r="F6" s="8"/>
      <c r="G6" s="8" t="s">
        <v>13</v>
      </c>
      <c r="H6" s="8" t="s">
        <v>177</v>
      </c>
      <c r="I6" s="36">
        <v>0.1</v>
      </c>
      <c r="J6" s="36">
        <v>120771</v>
      </c>
      <c r="K6" s="36">
        <v>120771.1</v>
      </c>
      <c r="L6" s="39" t="s">
        <v>388</v>
      </c>
    </row>
    <row r="7" spans="1:12" ht="26" x14ac:dyDescent="0.3">
      <c r="A7" s="41" t="s">
        <v>48</v>
      </c>
      <c r="B7" s="8" t="s">
        <v>17</v>
      </c>
      <c r="C7" s="8" t="s">
        <v>10</v>
      </c>
      <c r="D7" s="8" t="s">
        <v>19</v>
      </c>
      <c r="E7" s="8" t="s">
        <v>201</v>
      </c>
      <c r="F7" s="8"/>
      <c r="G7" s="8" t="s">
        <v>13</v>
      </c>
      <c r="H7" s="8" t="s">
        <v>177</v>
      </c>
      <c r="I7" s="36">
        <v>0.1</v>
      </c>
      <c r="J7" s="36">
        <v>87543</v>
      </c>
      <c r="K7" s="36">
        <v>87543.1</v>
      </c>
      <c r="L7" s="56" t="s">
        <v>374</v>
      </c>
    </row>
    <row r="8" spans="1:12" x14ac:dyDescent="0.3">
      <c r="A8" s="41" t="s">
        <v>48</v>
      </c>
      <c r="B8" s="8" t="s">
        <v>17</v>
      </c>
      <c r="C8" s="8" t="s">
        <v>10</v>
      </c>
      <c r="D8" s="8" t="s">
        <v>19</v>
      </c>
      <c r="E8" s="8" t="s">
        <v>202</v>
      </c>
      <c r="F8" s="8"/>
      <c r="G8" s="8" t="s">
        <v>13</v>
      </c>
      <c r="H8" s="8" t="s">
        <v>197</v>
      </c>
      <c r="I8" s="36">
        <v>0.1</v>
      </c>
      <c r="J8" s="36">
        <v>8100</v>
      </c>
      <c r="K8" s="36">
        <v>8100.1</v>
      </c>
      <c r="L8" s="24" t="s">
        <v>125</v>
      </c>
    </row>
    <row r="9" spans="1:12" ht="26" x14ac:dyDescent="0.3">
      <c r="A9" s="41" t="s">
        <v>8</v>
      </c>
      <c r="B9" s="8" t="s">
        <v>17</v>
      </c>
      <c r="C9" s="8" t="s">
        <v>10</v>
      </c>
      <c r="D9" s="8" t="s">
        <v>66</v>
      </c>
      <c r="E9" s="8" t="s">
        <v>198</v>
      </c>
      <c r="F9" s="8"/>
      <c r="G9" s="8" t="s">
        <v>13</v>
      </c>
      <c r="H9" s="8" t="s">
        <v>73</v>
      </c>
      <c r="I9" s="36">
        <v>0.1</v>
      </c>
      <c r="J9" s="36">
        <v>97000</v>
      </c>
      <c r="K9" s="36">
        <v>97000.1</v>
      </c>
      <c r="L9" s="39" t="s">
        <v>389</v>
      </c>
    </row>
    <row r="10" spans="1:12" ht="26" x14ac:dyDescent="0.3">
      <c r="A10" s="41" t="s">
        <v>203</v>
      </c>
      <c r="B10" s="8" t="s">
        <v>37</v>
      </c>
      <c r="C10" s="8" t="s">
        <v>167</v>
      </c>
      <c r="D10" s="8" t="s">
        <v>19</v>
      </c>
      <c r="E10" s="8" t="s">
        <v>21</v>
      </c>
      <c r="F10" s="8"/>
      <c r="G10" s="8" t="s">
        <v>13</v>
      </c>
      <c r="H10" s="8" t="s">
        <v>177</v>
      </c>
      <c r="I10" s="36">
        <v>67708</v>
      </c>
      <c r="J10" s="36"/>
      <c r="K10" s="36">
        <v>67708</v>
      </c>
      <c r="L10" s="39" t="s">
        <v>385</v>
      </c>
    </row>
    <row r="11" spans="1:12" x14ac:dyDescent="0.3">
      <c r="A11" s="41" t="s">
        <v>71</v>
      </c>
      <c r="B11" s="8" t="s">
        <v>37</v>
      </c>
      <c r="C11" s="8" t="s">
        <v>72</v>
      </c>
      <c r="D11" s="8" t="s">
        <v>19</v>
      </c>
      <c r="E11" s="8" t="s">
        <v>21</v>
      </c>
      <c r="F11" s="8"/>
      <c r="G11" s="8" t="s">
        <v>13</v>
      </c>
      <c r="H11" s="8" t="s">
        <v>197</v>
      </c>
      <c r="I11" s="36">
        <v>5000</v>
      </c>
      <c r="J11" s="36">
        <v>7000</v>
      </c>
      <c r="K11" s="36">
        <v>12000</v>
      </c>
      <c r="L11" s="39" t="s">
        <v>375</v>
      </c>
    </row>
    <row r="12" spans="1:12" ht="26" x14ac:dyDescent="0.3">
      <c r="A12" s="41" t="s">
        <v>204</v>
      </c>
      <c r="B12" s="8" t="s">
        <v>37</v>
      </c>
      <c r="C12" s="8" t="s">
        <v>65</v>
      </c>
      <c r="D12" s="8" t="s">
        <v>205</v>
      </c>
      <c r="E12" s="8" t="s">
        <v>21</v>
      </c>
      <c r="F12" s="8"/>
      <c r="G12" s="8" t="s">
        <v>206</v>
      </c>
      <c r="H12" s="8" t="s">
        <v>197</v>
      </c>
      <c r="I12" s="36">
        <v>4930500</v>
      </c>
      <c r="J12" s="36"/>
      <c r="K12" s="36">
        <v>4930500</v>
      </c>
      <c r="L12" s="39" t="s">
        <v>21</v>
      </c>
    </row>
    <row r="13" spans="1:12" ht="96.5" customHeight="1" x14ac:dyDescent="0.3">
      <c r="A13" s="41" t="s">
        <v>207</v>
      </c>
      <c r="B13" s="8" t="s">
        <v>37</v>
      </c>
      <c r="C13" s="8" t="s">
        <v>10</v>
      </c>
      <c r="D13" s="8" t="s">
        <v>384</v>
      </c>
      <c r="E13" s="8" t="s">
        <v>21</v>
      </c>
      <c r="F13" s="8"/>
      <c r="G13" s="8" t="s">
        <v>13</v>
      </c>
      <c r="H13" s="8" t="s">
        <v>177</v>
      </c>
      <c r="I13" s="36">
        <v>8289486</v>
      </c>
      <c r="J13" s="36">
        <v>-152003</v>
      </c>
      <c r="K13" s="36">
        <v>8137483</v>
      </c>
      <c r="L13" s="59" t="s">
        <v>386</v>
      </c>
    </row>
    <row r="14" spans="1:12" x14ac:dyDescent="0.3">
      <c r="A14" s="41" t="s">
        <v>30</v>
      </c>
      <c r="B14" s="8" t="s">
        <v>208</v>
      </c>
      <c r="C14" s="8" t="s">
        <v>31</v>
      </c>
      <c r="D14" s="8" t="s">
        <v>32</v>
      </c>
      <c r="E14" s="8" t="s">
        <v>209</v>
      </c>
      <c r="F14" s="8"/>
      <c r="G14" s="8" t="s">
        <v>13</v>
      </c>
      <c r="H14" s="8" t="s">
        <v>73</v>
      </c>
      <c r="I14" s="36">
        <v>0.1</v>
      </c>
      <c r="J14" s="36">
        <v>1033645</v>
      </c>
      <c r="K14" s="36">
        <v>1033645.1</v>
      </c>
      <c r="L14" s="57" t="s">
        <v>378</v>
      </c>
    </row>
    <row r="15" spans="1:12" x14ac:dyDescent="0.3">
      <c r="A15" s="41" t="s">
        <v>34</v>
      </c>
      <c r="B15" s="8" t="s">
        <v>208</v>
      </c>
      <c r="C15" s="8" t="s">
        <v>35</v>
      </c>
      <c r="D15" s="8" t="s">
        <v>19</v>
      </c>
      <c r="E15" s="8" t="s">
        <v>217</v>
      </c>
      <c r="F15" s="8"/>
      <c r="G15" s="8" t="s">
        <v>13</v>
      </c>
      <c r="H15" s="8" t="s">
        <v>73</v>
      </c>
      <c r="I15" s="36">
        <v>36015</v>
      </c>
      <c r="J15" s="36">
        <v>37252</v>
      </c>
      <c r="K15" s="36">
        <v>73267</v>
      </c>
      <c r="L15" s="57" t="s">
        <v>376</v>
      </c>
    </row>
    <row r="16" spans="1:12" ht="26" x14ac:dyDescent="0.3">
      <c r="A16" s="41" t="s">
        <v>30</v>
      </c>
      <c r="B16" s="8" t="s">
        <v>208</v>
      </c>
      <c r="C16" s="8" t="s">
        <v>31</v>
      </c>
      <c r="D16" s="8" t="s">
        <v>32</v>
      </c>
      <c r="E16" s="8" t="s">
        <v>210</v>
      </c>
      <c r="F16" s="8"/>
      <c r="G16" s="8" t="s">
        <v>13</v>
      </c>
      <c r="H16" s="8" t="s">
        <v>73</v>
      </c>
      <c r="I16" s="36">
        <v>0.1</v>
      </c>
      <c r="J16" s="36">
        <v>566702</v>
      </c>
      <c r="K16" s="36">
        <v>566702.1</v>
      </c>
      <c r="L16" s="37" t="s">
        <v>380</v>
      </c>
    </row>
    <row r="17" spans="1:12" x14ac:dyDescent="0.3">
      <c r="A17" s="41" t="s">
        <v>30</v>
      </c>
      <c r="B17" s="8" t="s">
        <v>208</v>
      </c>
      <c r="C17" s="8" t="s">
        <v>31</v>
      </c>
      <c r="D17" s="8" t="s">
        <v>211</v>
      </c>
      <c r="E17" s="8" t="s">
        <v>210</v>
      </c>
      <c r="F17" s="8"/>
      <c r="G17" s="8" t="s">
        <v>13</v>
      </c>
      <c r="H17" s="8" t="s">
        <v>73</v>
      </c>
      <c r="I17" s="36">
        <v>0.1</v>
      </c>
      <c r="J17" s="36">
        <v>80520</v>
      </c>
      <c r="K17" s="36">
        <v>80520.100000000006</v>
      </c>
      <c r="L17" s="37" t="s">
        <v>381</v>
      </c>
    </row>
    <row r="18" spans="1:12" x14ac:dyDescent="0.3">
      <c r="A18" s="41" t="s">
        <v>213</v>
      </c>
      <c r="B18" s="8" t="s">
        <v>208</v>
      </c>
      <c r="C18" s="8" t="s">
        <v>31</v>
      </c>
      <c r="D18" s="8" t="s">
        <v>214</v>
      </c>
      <c r="E18" s="8" t="s">
        <v>210</v>
      </c>
      <c r="F18" s="8"/>
      <c r="G18" s="8" t="s">
        <v>13</v>
      </c>
      <c r="H18" s="8" t="s">
        <v>73</v>
      </c>
      <c r="I18" s="36">
        <v>688865</v>
      </c>
      <c r="J18" s="36">
        <v>-71211</v>
      </c>
      <c r="K18" s="36">
        <v>617654</v>
      </c>
      <c r="L18" s="37" t="s">
        <v>381</v>
      </c>
    </row>
    <row r="19" spans="1:12" ht="290" customHeight="1" x14ac:dyDescent="0.3">
      <c r="A19" s="41" t="s">
        <v>34</v>
      </c>
      <c r="B19" s="8" t="s">
        <v>208</v>
      </c>
      <c r="C19" s="8" t="s">
        <v>35</v>
      </c>
      <c r="D19" s="8" t="s">
        <v>19</v>
      </c>
      <c r="E19" s="8" t="s">
        <v>218</v>
      </c>
      <c r="F19" s="8"/>
      <c r="G19" s="8" t="s">
        <v>13</v>
      </c>
      <c r="H19" s="8" t="s">
        <v>73</v>
      </c>
      <c r="I19" s="36">
        <v>1119227</v>
      </c>
      <c r="J19" s="36">
        <v>204716</v>
      </c>
      <c r="K19" s="36">
        <v>1323943</v>
      </c>
      <c r="L19" s="58" t="s">
        <v>379</v>
      </c>
    </row>
    <row r="20" spans="1:12" x14ac:dyDescent="0.3">
      <c r="A20" s="41" t="s">
        <v>30</v>
      </c>
      <c r="B20" s="8" t="s">
        <v>208</v>
      </c>
      <c r="C20" s="8" t="s">
        <v>31</v>
      </c>
      <c r="D20" s="8" t="s">
        <v>32</v>
      </c>
      <c r="E20" s="8" t="s">
        <v>212</v>
      </c>
      <c r="F20" s="8"/>
      <c r="G20" s="8" t="s">
        <v>13</v>
      </c>
      <c r="H20" s="8" t="s">
        <v>73</v>
      </c>
      <c r="I20" s="36">
        <v>0.1</v>
      </c>
      <c r="J20" s="36">
        <v>808198</v>
      </c>
      <c r="K20" s="36">
        <v>808198.1</v>
      </c>
      <c r="L20" s="39" t="s">
        <v>383</v>
      </c>
    </row>
    <row r="21" spans="1:12" ht="26" x14ac:dyDescent="0.3">
      <c r="A21" s="41" t="s">
        <v>215</v>
      </c>
      <c r="B21" s="8" t="s">
        <v>208</v>
      </c>
      <c r="C21" s="8" t="s">
        <v>31</v>
      </c>
      <c r="D21" s="8" t="s">
        <v>211</v>
      </c>
      <c r="E21" s="8" t="s">
        <v>216</v>
      </c>
      <c r="F21" s="8"/>
      <c r="G21" s="8" t="s">
        <v>13</v>
      </c>
      <c r="H21" s="8" t="s">
        <v>73</v>
      </c>
      <c r="I21" s="36">
        <v>276780</v>
      </c>
      <c r="J21" s="36">
        <v>-250000</v>
      </c>
      <c r="K21" s="36">
        <v>26780</v>
      </c>
      <c r="L21" s="39" t="s">
        <v>382</v>
      </c>
    </row>
    <row r="22" spans="1:12" ht="26" x14ac:dyDescent="0.3">
      <c r="A22" s="41" t="s">
        <v>34</v>
      </c>
      <c r="B22" s="8" t="s">
        <v>208</v>
      </c>
      <c r="C22" s="8" t="s">
        <v>35</v>
      </c>
      <c r="D22" s="8" t="s">
        <v>19</v>
      </c>
      <c r="E22" s="8" t="s">
        <v>219</v>
      </c>
      <c r="F22" s="8"/>
      <c r="G22" s="8" t="s">
        <v>13</v>
      </c>
      <c r="H22" s="8" t="s">
        <v>73</v>
      </c>
      <c r="I22" s="36">
        <v>85299</v>
      </c>
      <c r="J22" s="36">
        <v>57011</v>
      </c>
      <c r="K22" s="36">
        <v>142310</v>
      </c>
      <c r="L22" s="57" t="s">
        <v>377</v>
      </c>
    </row>
    <row r="23" spans="1:12" x14ac:dyDescent="0.3">
      <c r="A23" s="42" t="s">
        <v>34</v>
      </c>
      <c r="B23" s="32" t="s">
        <v>208</v>
      </c>
      <c r="C23" s="32" t="s">
        <v>35</v>
      </c>
      <c r="D23" s="32" t="s">
        <v>19</v>
      </c>
      <c r="E23" s="32" t="s">
        <v>220</v>
      </c>
      <c r="F23" s="32"/>
      <c r="G23" s="32" t="s">
        <v>13</v>
      </c>
      <c r="H23" s="32" t="s">
        <v>73</v>
      </c>
      <c r="I23" s="60">
        <v>0.1</v>
      </c>
      <c r="J23" s="60">
        <v>352000</v>
      </c>
      <c r="K23" s="60">
        <v>352000.1</v>
      </c>
      <c r="L23" s="40" t="s">
        <v>383</v>
      </c>
    </row>
    <row r="24" spans="1:12" x14ac:dyDescent="0.3">
      <c r="A24" s="42"/>
      <c r="B24" s="32"/>
      <c r="C24" s="32"/>
      <c r="D24" s="32"/>
      <c r="E24" s="32"/>
      <c r="F24" s="32"/>
      <c r="G24" s="32"/>
      <c r="H24" s="32"/>
      <c r="I24" s="9">
        <f>SUBTOTAL(109,Table113[Esialgne eelarve])</f>
        <v>15528467.899999999</v>
      </c>
      <c r="J24" s="9">
        <f>SUBTOTAL(109,Table113[Muudatused])</f>
        <v>2980150</v>
      </c>
      <c r="K24" s="9">
        <f>SUBTOTAL(109,Table113[Muudetud eelarve])</f>
        <v>18508617.900000002</v>
      </c>
      <c r="L24" s="40"/>
    </row>
    <row r="25" spans="1:12" x14ac:dyDescent="0.3">
      <c r="G25" s="44"/>
      <c r="H25" s="44"/>
      <c r="I25" s="44"/>
      <c r="J25" s="44"/>
      <c r="K25" s="44"/>
      <c r="L25" s="49"/>
    </row>
    <row r="26" spans="1:12" x14ac:dyDescent="0.3">
      <c r="G26" s="44"/>
      <c r="H26" s="44"/>
      <c r="I26" s="44"/>
      <c r="J26" s="44"/>
      <c r="K26" s="44"/>
      <c r="L26" s="49"/>
    </row>
    <row r="27" spans="1:12" x14ac:dyDescent="0.3">
      <c r="G27" s="44"/>
      <c r="H27" s="44"/>
      <c r="I27" s="44"/>
      <c r="J27" s="44"/>
      <c r="K27" s="44"/>
      <c r="L27" s="49"/>
    </row>
    <row r="28" spans="1:12" x14ac:dyDescent="0.3">
      <c r="G28" s="44"/>
      <c r="H28" s="44"/>
      <c r="I28" s="44"/>
      <c r="J28" s="44"/>
      <c r="K28" s="44"/>
      <c r="L28" s="49"/>
    </row>
    <row r="29" spans="1:12" x14ac:dyDescent="0.3">
      <c r="G29" s="44"/>
      <c r="H29" s="44"/>
      <c r="I29" s="44"/>
      <c r="J29" s="44"/>
      <c r="K29" s="44"/>
      <c r="L29" s="49"/>
    </row>
    <row r="30" spans="1:12" x14ac:dyDescent="0.3">
      <c r="G30" s="44"/>
      <c r="H30" s="44"/>
      <c r="I30" s="44"/>
      <c r="J30" s="44"/>
      <c r="K30" s="44"/>
      <c r="L30" s="49"/>
    </row>
    <row r="31" spans="1:12" x14ac:dyDescent="0.3">
      <c r="G31" s="44"/>
      <c r="H31" s="44"/>
      <c r="I31" s="44"/>
      <c r="J31" s="44"/>
      <c r="K31" s="44"/>
      <c r="L31" s="49"/>
    </row>
    <row r="32" spans="1:12" x14ac:dyDescent="0.3">
      <c r="G32" s="44"/>
      <c r="H32" s="44"/>
      <c r="I32" s="44"/>
      <c r="J32" s="44"/>
      <c r="K32" s="44"/>
      <c r="L32" s="49"/>
    </row>
    <row r="33" spans="7:12" x14ac:dyDescent="0.3">
      <c r="G33" s="44"/>
      <c r="H33" s="44"/>
      <c r="I33" s="44"/>
      <c r="J33" s="44"/>
      <c r="K33" s="44"/>
      <c r="L33" s="49"/>
    </row>
    <row r="34" spans="7:12" x14ac:dyDescent="0.3">
      <c r="G34" s="44"/>
      <c r="H34" s="44"/>
      <c r="I34" s="44"/>
      <c r="J34" s="44"/>
      <c r="K34" s="44"/>
      <c r="L34" s="49"/>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F6A588-97C9-4D17-ABCC-0D6EC0ADF99F}">
  <sheetPr>
    <tabColor rgb="FF92D050"/>
  </sheetPr>
  <dimension ref="A1:L12"/>
  <sheetViews>
    <sheetView workbookViewId="0">
      <selection activeCell="A2" sqref="A2"/>
    </sheetView>
  </sheetViews>
  <sheetFormatPr defaultRowHeight="13" x14ac:dyDescent="0.3"/>
  <cols>
    <col min="1" max="1" width="19.90625" style="3" bestFit="1" customWidth="1"/>
    <col min="2" max="2" width="13.26953125" style="3" bestFit="1" customWidth="1"/>
    <col min="3" max="3" width="12.81640625" style="3" bestFit="1" customWidth="1"/>
    <col min="4" max="4" width="10.90625" style="3" bestFit="1" customWidth="1"/>
    <col min="5" max="5" width="13.81640625" style="3" bestFit="1" customWidth="1"/>
    <col min="6" max="6" width="17.269531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46.36328125" style="13" bestFit="1" customWidth="1"/>
    <col min="13" max="16384" width="8.7265625" style="3"/>
  </cols>
  <sheetData>
    <row r="1" spans="1:12" x14ac:dyDescent="0.3">
      <c r="A1" s="15" t="s">
        <v>319</v>
      </c>
      <c r="L1" s="14" t="s">
        <v>320</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24</v>
      </c>
      <c r="H3" s="8" t="s">
        <v>25</v>
      </c>
      <c r="I3" s="9">
        <v>2287</v>
      </c>
      <c r="J3" s="8"/>
      <c r="K3" s="9">
        <v>2287</v>
      </c>
      <c r="L3" s="24" t="s">
        <v>124</v>
      </c>
    </row>
    <row r="4" spans="1:12" x14ac:dyDescent="0.3">
      <c r="A4" s="30" t="s">
        <v>42</v>
      </c>
      <c r="B4" s="8" t="s">
        <v>40</v>
      </c>
      <c r="C4" s="8" t="s">
        <v>43</v>
      </c>
      <c r="D4" s="8" t="s">
        <v>19</v>
      </c>
      <c r="E4" s="8"/>
      <c r="F4" s="8"/>
      <c r="G4" s="8" t="s">
        <v>24</v>
      </c>
      <c r="H4" s="8" t="s">
        <v>25</v>
      </c>
      <c r="I4" s="9">
        <v>3637</v>
      </c>
      <c r="J4" s="8"/>
      <c r="K4" s="9">
        <v>3637</v>
      </c>
      <c r="L4" s="24" t="s">
        <v>147</v>
      </c>
    </row>
    <row r="5" spans="1:12" x14ac:dyDescent="0.3">
      <c r="A5" s="30" t="s">
        <v>305</v>
      </c>
      <c r="B5" s="8" t="s">
        <v>17</v>
      </c>
      <c r="C5" s="8" t="s">
        <v>306</v>
      </c>
      <c r="D5" s="8" t="s">
        <v>19</v>
      </c>
      <c r="E5" s="8" t="s">
        <v>223</v>
      </c>
      <c r="F5" s="8"/>
      <c r="G5" s="8" t="s">
        <v>24</v>
      </c>
      <c r="H5" s="8" t="s">
        <v>25</v>
      </c>
      <c r="I5" s="9">
        <v>10000</v>
      </c>
      <c r="J5" s="8"/>
      <c r="K5" s="9">
        <v>10000</v>
      </c>
      <c r="L5" s="39" t="s">
        <v>348</v>
      </c>
    </row>
    <row r="6" spans="1:12" x14ac:dyDescent="0.3">
      <c r="A6" s="30" t="s">
        <v>305</v>
      </c>
      <c r="B6" s="8" t="s">
        <v>17</v>
      </c>
      <c r="C6" s="8" t="s">
        <v>306</v>
      </c>
      <c r="D6" s="8" t="s">
        <v>19</v>
      </c>
      <c r="E6" s="8" t="s">
        <v>221</v>
      </c>
      <c r="F6" s="8"/>
      <c r="G6" s="8" t="s">
        <v>24</v>
      </c>
      <c r="H6" s="8" t="s">
        <v>25</v>
      </c>
      <c r="I6" s="9">
        <v>8530</v>
      </c>
      <c r="J6" s="8"/>
      <c r="K6" s="9">
        <v>8530</v>
      </c>
      <c r="L6" s="39" t="s">
        <v>21</v>
      </c>
    </row>
    <row r="7" spans="1:12" x14ac:dyDescent="0.3">
      <c r="A7" s="30" t="s">
        <v>305</v>
      </c>
      <c r="B7" s="8" t="s">
        <v>17</v>
      </c>
      <c r="C7" s="8" t="s">
        <v>306</v>
      </c>
      <c r="D7" s="8" t="s">
        <v>19</v>
      </c>
      <c r="E7" s="8" t="s">
        <v>222</v>
      </c>
      <c r="F7" s="8"/>
      <c r="G7" s="8" t="s">
        <v>24</v>
      </c>
      <c r="H7" s="8" t="s">
        <v>25</v>
      </c>
      <c r="I7" s="9">
        <v>50000</v>
      </c>
      <c r="J7" s="8"/>
      <c r="K7" s="9">
        <v>50000</v>
      </c>
      <c r="L7" s="39"/>
    </row>
    <row r="8" spans="1:12" x14ac:dyDescent="0.3">
      <c r="A8" s="30" t="s">
        <v>48</v>
      </c>
      <c r="B8" s="8" t="s">
        <v>17</v>
      </c>
      <c r="C8" s="8" t="s">
        <v>10</v>
      </c>
      <c r="D8" s="8" t="s">
        <v>19</v>
      </c>
      <c r="E8" s="8" t="s">
        <v>224</v>
      </c>
      <c r="F8" s="8"/>
      <c r="G8" s="8" t="s">
        <v>24</v>
      </c>
      <c r="H8" s="8" t="s">
        <v>25</v>
      </c>
      <c r="I8" s="9">
        <v>0.1</v>
      </c>
      <c r="J8" s="9">
        <v>32000</v>
      </c>
      <c r="K8" s="9">
        <v>32000.1</v>
      </c>
      <c r="L8" s="24" t="s">
        <v>125</v>
      </c>
    </row>
    <row r="9" spans="1:12" ht="26" x14ac:dyDescent="0.3">
      <c r="A9" s="30" t="s">
        <v>30</v>
      </c>
      <c r="B9" s="8" t="s">
        <v>9</v>
      </c>
      <c r="C9" s="8" t="s">
        <v>31</v>
      </c>
      <c r="D9" s="8" t="s">
        <v>56</v>
      </c>
      <c r="E9" s="8" t="s">
        <v>21</v>
      </c>
      <c r="F9" s="8" t="s">
        <v>225</v>
      </c>
      <c r="G9" s="8" t="s">
        <v>24</v>
      </c>
      <c r="H9" s="8" t="s">
        <v>25</v>
      </c>
      <c r="I9" s="9">
        <v>236861</v>
      </c>
      <c r="J9" s="9">
        <v>-236861</v>
      </c>
      <c r="K9" s="9">
        <v>0</v>
      </c>
      <c r="L9" s="39" t="s">
        <v>349</v>
      </c>
    </row>
    <row r="10" spans="1:12" x14ac:dyDescent="0.3">
      <c r="A10" s="30" t="s">
        <v>34</v>
      </c>
      <c r="B10" s="8" t="s">
        <v>9</v>
      </c>
      <c r="C10" s="8" t="s">
        <v>35</v>
      </c>
      <c r="D10" s="8" t="s">
        <v>11</v>
      </c>
      <c r="E10" s="8" t="s">
        <v>21</v>
      </c>
      <c r="F10" s="8" t="s">
        <v>225</v>
      </c>
      <c r="G10" s="8" t="s">
        <v>24</v>
      </c>
      <c r="H10" s="8" t="s">
        <v>25</v>
      </c>
      <c r="I10" s="9">
        <v>11000</v>
      </c>
      <c r="J10" s="9"/>
      <c r="K10" s="9">
        <v>11000</v>
      </c>
      <c r="L10" s="39" t="s">
        <v>226</v>
      </c>
    </row>
    <row r="11" spans="1:12" x14ac:dyDescent="0.3">
      <c r="A11" s="31" t="s">
        <v>8</v>
      </c>
      <c r="B11" s="32" t="s">
        <v>9</v>
      </c>
      <c r="C11" s="32" t="s">
        <v>10</v>
      </c>
      <c r="D11" s="32" t="s">
        <v>11</v>
      </c>
      <c r="E11" s="32" t="s">
        <v>21</v>
      </c>
      <c r="F11" s="32" t="s">
        <v>225</v>
      </c>
      <c r="G11" s="32" t="s">
        <v>24</v>
      </c>
      <c r="H11" s="32" t="s">
        <v>25</v>
      </c>
      <c r="I11" s="33">
        <v>61500</v>
      </c>
      <c r="J11" s="33"/>
      <c r="K11" s="33">
        <v>61500</v>
      </c>
      <c r="L11" s="40" t="s">
        <v>226</v>
      </c>
    </row>
    <row r="12" spans="1:12" x14ac:dyDescent="0.3">
      <c r="A12" s="31"/>
      <c r="B12" s="32"/>
      <c r="C12" s="32"/>
      <c r="D12" s="32"/>
      <c r="E12" s="32"/>
      <c r="F12" s="32"/>
      <c r="G12" s="32"/>
      <c r="H12" s="32"/>
      <c r="I12" s="9">
        <f>SUBTOTAL(109,Table118[Esialgne eelarve])</f>
        <v>383815.1</v>
      </c>
      <c r="J12" s="9">
        <f>SUBTOTAL(109,Table118[Muudatused])</f>
        <v>-204861</v>
      </c>
      <c r="K12" s="9">
        <f>SUBTOTAL(109,Table118[Muudetud eelarve])</f>
        <v>178954.1</v>
      </c>
      <c r="L12" s="40"/>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C882A-F213-4233-B73B-88934B9B4725}">
  <sheetPr>
    <tabColor rgb="FF92D050"/>
  </sheetPr>
  <dimension ref="A1:L13"/>
  <sheetViews>
    <sheetView workbookViewId="0">
      <selection activeCell="A2" sqref="A2"/>
    </sheetView>
  </sheetViews>
  <sheetFormatPr defaultRowHeight="13" x14ac:dyDescent="0.3"/>
  <cols>
    <col min="1" max="1" width="13.453125" style="3" customWidth="1"/>
    <col min="2" max="2" width="13.26953125" style="3" bestFit="1" customWidth="1"/>
    <col min="3" max="3" width="10.81640625" style="3" customWidth="1"/>
    <col min="4" max="4" width="11.1796875" style="3" customWidth="1"/>
    <col min="5" max="5" width="14.54296875" style="3" customWidth="1"/>
    <col min="6" max="6" width="15.6328125" style="3" bestFit="1" customWidth="1"/>
    <col min="7" max="7" width="10.1796875" style="3" customWidth="1"/>
    <col min="8" max="8" width="13.1796875" style="3" bestFit="1" customWidth="1"/>
    <col min="9" max="11" width="11.08984375" style="3" customWidth="1"/>
    <col min="12" max="12" width="59" style="13" bestFit="1" customWidth="1"/>
    <col min="13" max="16384" width="8.7265625" style="3"/>
  </cols>
  <sheetData>
    <row r="1" spans="1:12" x14ac:dyDescent="0.3">
      <c r="A1" s="15" t="s">
        <v>321</v>
      </c>
      <c r="L1" s="14" t="s">
        <v>322</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227</v>
      </c>
      <c r="I3" s="9">
        <v>616</v>
      </c>
      <c r="J3" s="8"/>
      <c r="K3" s="9">
        <v>616</v>
      </c>
      <c r="L3" s="24" t="s">
        <v>124</v>
      </c>
    </row>
    <row r="4" spans="1:12" x14ac:dyDescent="0.3">
      <c r="A4" s="30" t="s">
        <v>42</v>
      </c>
      <c r="B4" s="8" t="s">
        <v>40</v>
      </c>
      <c r="C4" s="8" t="s">
        <v>43</v>
      </c>
      <c r="D4" s="8" t="s">
        <v>19</v>
      </c>
      <c r="E4" s="8"/>
      <c r="F4" s="8"/>
      <c r="G4" s="8" t="s">
        <v>13</v>
      </c>
      <c r="H4" s="8" t="s">
        <v>227</v>
      </c>
      <c r="I4" s="9">
        <v>808</v>
      </c>
      <c r="J4" s="8"/>
      <c r="K4" s="9">
        <v>808</v>
      </c>
      <c r="L4" s="24" t="s">
        <v>147</v>
      </c>
    </row>
    <row r="5" spans="1:12" x14ac:dyDescent="0.3">
      <c r="A5" s="30" t="s">
        <v>48</v>
      </c>
      <c r="B5" s="8" t="s">
        <v>17</v>
      </c>
      <c r="C5" s="8" t="s">
        <v>10</v>
      </c>
      <c r="D5" s="8" t="s">
        <v>19</v>
      </c>
      <c r="E5" s="8" t="s">
        <v>228</v>
      </c>
      <c r="F5" s="8"/>
      <c r="G5" s="8" t="s">
        <v>13</v>
      </c>
      <c r="H5" s="8" t="s">
        <v>227</v>
      </c>
      <c r="I5" s="9">
        <v>0.1</v>
      </c>
      <c r="J5" s="9">
        <v>7000</v>
      </c>
      <c r="K5" s="9">
        <v>7000.1</v>
      </c>
      <c r="L5" s="24" t="s">
        <v>125</v>
      </c>
    </row>
    <row r="6" spans="1:12" x14ac:dyDescent="0.3">
      <c r="A6" s="30" t="s">
        <v>58</v>
      </c>
      <c r="B6" s="8" t="s">
        <v>37</v>
      </c>
      <c r="C6" s="8" t="s">
        <v>59</v>
      </c>
      <c r="D6" s="8" t="s">
        <v>19</v>
      </c>
      <c r="E6" s="8" t="s">
        <v>21</v>
      </c>
      <c r="F6" s="8"/>
      <c r="G6" s="8" t="s">
        <v>13</v>
      </c>
      <c r="H6" s="8" t="s">
        <v>227</v>
      </c>
      <c r="I6" s="9">
        <v>1937</v>
      </c>
      <c r="J6" s="9"/>
      <c r="K6" s="9">
        <v>1937</v>
      </c>
      <c r="L6" s="39" t="s">
        <v>21</v>
      </c>
    </row>
    <row r="7" spans="1:12" ht="26" x14ac:dyDescent="0.3">
      <c r="A7" s="30" t="s">
        <v>34</v>
      </c>
      <c r="B7" s="8" t="s">
        <v>9</v>
      </c>
      <c r="C7" s="8" t="s">
        <v>35</v>
      </c>
      <c r="D7" s="8" t="s">
        <v>11</v>
      </c>
      <c r="E7" s="8" t="s">
        <v>21</v>
      </c>
      <c r="F7" s="8" t="s">
        <v>229</v>
      </c>
      <c r="G7" s="8" t="s">
        <v>21</v>
      </c>
      <c r="H7" s="8" t="s">
        <v>227</v>
      </c>
      <c r="I7" s="9">
        <v>8969</v>
      </c>
      <c r="J7" s="9"/>
      <c r="K7" s="9">
        <v>8969</v>
      </c>
      <c r="L7" s="39" t="s">
        <v>234</v>
      </c>
    </row>
    <row r="8" spans="1:12" ht="26" x14ac:dyDescent="0.3">
      <c r="A8" s="30" t="s">
        <v>8</v>
      </c>
      <c r="B8" s="8" t="s">
        <v>9</v>
      </c>
      <c r="C8" s="8" t="s">
        <v>10</v>
      </c>
      <c r="D8" s="8" t="s">
        <v>11</v>
      </c>
      <c r="E8" s="8" t="s">
        <v>21</v>
      </c>
      <c r="F8" s="8" t="s">
        <v>229</v>
      </c>
      <c r="G8" s="8" t="s">
        <v>21</v>
      </c>
      <c r="H8" s="8" t="s">
        <v>227</v>
      </c>
      <c r="I8" s="9">
        <v>27137</v>
      </c>
      <c r="J8" s="9"/>
      <c r="K8" s="9">
        <v>27137</v>
      </c>
      <c r="L8" s="39" t="s">
        <v>234</v>
      </c>
    </row>
    <row r="9" spans="1:12" x14ac:dyDescent="0.3">
      <c r="A9" s="30" t="s">
        <v>34</v>
      </c>
      <c r="B9" s="8" t="s">
        <v>9</v>
      </c>
      <c r="C9" s="8" t="s">
        <v>35</v>
      </c>
      <c r="D9" s="8" t="s">
        <v>11</v>
      </c>
      <c r="E9" s="8" t="s">
        <v>21</v>
      </c>
      <c r="F9" s="8" t="s">
        <v>230</v>
      </c>
      <c r="G9" s="8" t="s">
        <v>21</v>
      </c>
      <c r="H9" s="8" t="s">
        <v>227</v>
      </c>
      <c r="I9" s="9">
        <v>14402</v>
      </c>
      <c r="J9" s="9"/>
      <c r="K9" s="9">
        <v>14402</v>
      </c>
      <c r="L9" s="39" t="s">
        <v>231</v>
      </c>
    </row>
    <row r="10" spans="1:12" x14ac:dyDescent="0.3">
      <c r="A10" s="30" t="s">
        <v>8</v>
      </c>
      <c r="B10" s="8" t="s">
        <v>9</v>
      </c>
      <c r="C10" s="8" t="s">
        <v>10</v>
      </c>
      <c r="D10" s="8" t="s">
        <v>11</v>
      </c>
      <c r="E10" s="8" t="s">
        <v>21</v>
      </c>
      <c r="F10" s="8" t="s">
        <v>230</v>
      </c>
      <c r="G10" s="8" t="s">
        <v>21</v>
      </c>
      <c r="H10" s="8" t="s">
        <v>227</v>
      </c>
      <c r="I10" s="9">
        <v>43575</v>
      </c>
      <c r="J10" s="9"/>
      <c r="K10" s="9">
        <v>43575</v>
      </c>
      <c r="L10" s="39" t="s">
        <v>231</v>
      </c>
    </row>
    <row r="11" spans="1:12" ht="26" x14ac:dyDescent="0.3">
      <c r="A11" s="30" t="s">
        <v>34</v>
      </c>
      <c r="B11" s="8" t="s">
        <v>9</v>
      </c>
      <c r="C11" s="8" t="s">
        <v>35</v>
      </c>
      <c r="D11" s="8" t="s">
        <v>11</v>
      </c>
      <c r="E11" s="8" t="s">
        <v>21</v>
      </c>
      <c r="F11" s="8" t="s">
        <v>232</v>
      </c>
      <c r="G11" s="8" t="s">
        <v>21</v>
      </c>
      <c r="H11" s="8" t="s">
        <v>227</v>
      </c>
      <c r="I11" s="9">
        <v>11732</v>
      </c>
      <c r="J11" s="9"/>
      <c r="K11" s="9">
        <v>11732</v>
      </c>
      <c r="L11" s="39" t="s">
        <v>233</v>
      </c>
    </row>
    <row r="12" spans="1:12" ht="26" x14ac:dyDescent="0.3">
      <c r="A12" s="31" t="s">
        <v>8</v>
      </c>
      <c r="B12" s="32" t="s">
        <v>9</v>
      </c>
      <c r="C12" s="32" t="s">
        <v>10</v>
      </c>
      <c r="D12" s="32" t="s">
        <v>11</v>
      </c>
      <c r="E12" s="32" t="s">
        <v>21</v>
      </c>
      <c r="F12" s="32" t="s">
        <v>232</v>
      </c>
      <c r="G12" s="32" t="s">
        <v>21</v>
      </c>
      <c r="H12" s="32" t="s">
        <v>227</v>
      </c>
      <c r="I12" s="33">
        <v>35498</v>
      </c>
      <c r="J12" s="33"/>
      <c r="K12" s="33">
        <v>35498</v>
      </c>
      <c r="L12" s="40" t="s">
        <v>233</v>
      </c>
    </row>
    <row r="13" spans="1:12" x14ac:dyDescent="0.3">
      <c r="A13" s="31"/>
      <c r="B13" s="32"/>
      <c r="C13" s="32"/>
      <c r="D13" s="32"/>
      <c r="E13" s="32"/>
      <c r="F13" s="32"/>
      <c r="G13" s="32"/>
      <c r="H13" s="32"/>
      <c r="I13" s="9">
        <f>SUBTOTAL(109,Table119[Esialgne eelarve])</f>
        <v>144674.1</v>
      </c>
      <c r="J13" s="9">
        <f>SUBTOTAL(109,Table119[Muudatused])</f>
        <v>7000</v>
      </c>
      <c r="K13" s="9">
        <f>SUBTOTAL(109,Table119[Muudetud eelarve])</f>
        <v>151674.1</v>
      </c>
      <c r="L13" s="40"/>
    </row>
  </sheetData>
  <pageMargins left="0.7" right="0.7" top="0.75" bottom="0.75" header="0.3" footer="0.3"/>
  <tableParts count="1">
    <tablePart r:id="rId1"/>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120C5A-69CB-4E49-9757-95000CB5CD6B}">
  <sheetPr>
    <tabColor rgb="FF92D050"/>
  </sheetPr>
  <dimension ref="A1:L6"/>
  <sheetViews>
    <sheetView workbookViewId="0">
      <selection activeCell="A2" sqref="A2"/>
    </sheetView>
  </sheetViews>
  <sheetFormatPr defaultRowHeight="13" x14ac:dyDescent="0.3"/>
  <cols>
    <col min="1" max="1" width="18.26953125" style="3" bestFit="1" customWidth="1"/>
    <col min="2" max="2" width="13.26953125" style="3" bestFit="1" customWidth="1"/>
    <col min="3" max="3" width="12.81640625" style="3" bestFit="1" customWidth="1"/>
    <col min="4" max="5" width="10.906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31.08984375" style="13" customWidth="1"/>
    <col min="13" max="16384" width="8.7265625" style="3"/>
  </cols>
  <sheetData>
    <row r="1" spans="1:12" x14ac:dyDescent="0.3">
      <c r="A1" s="15" t="s">
        <v>323</v>
      </c>
      <c r="L1" s="14" t="s">
        <v>324</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ht="26" x14ac:dyDescent="0.3">
      <c r="A3" s="30" t="s">
        <v>39</v>
      </c>
      <c r="B3" s="8" t="s">
        <v>40</v>
      </c>
      <c r="C3" s="8" t="s">
        <v>41</v>
      </c>
      <c r="D3" s="8" t="s">
        <v>19</v>
      </c>
      <c r="E3" s="8"/>
      <c r="F3" s="8"/>
      <c r="G3" s="8" t="s">
        <v>13</v>
      </c>
      <c r="H3" s="8" t="s">
        <v>235</v>
      </c>
      <c r="I3" s="9">
        <v>631</v>
      </c>
      <c r="J3" s="8"/>
      <c r="K3" s="9">
        <v>631</v>
      </c>
      <c r="L3" s="1" t="s">
        <v>350</v>
      </c>
    </row>
    <row r="4" spans="1:12" x14ac:dyDescent="0.3">
      <c r="A4" s="30" t="s">
        <v>80</v>
      </c>
      <c r="B4" s="8" t="s">
        <v>40</v>
      </c>
      <c r="C4" s="8" t="s">
        <v>81</v>
      </c>
      <c r="D4" s="8" t="s">
        <v>19</v>
      </c>
      <c r="E4" s="8"/>
      <c r="F4" s="8"/>
      <c r="G4" s="8" t="s">
        <v>13</v>
      </c>
      <c r="H4" s="8" t="s">
        <v>235</v>
      </c>
      <c r="I4" s="9">
        <v>812</v>
      </c>
      <c r="J4" s="8"/>
      <c r="K4" s="9">
        <v>812</v>
      </c>
      <c r="L4" s="1" t="s">
        <v>351</v>
      </c>
    </row>
    <row r="5" spans="1:12" x14ac:dyDescent="0.3">
      <c r="A5" s="31" t="s">
        <v>48</v>
      </c>
      <c r="B5" s="32" t="s">
        <v>17</v>
      </c>
      <c r="C5" s="32" t="s">
        <v>10</v>
      </c>
      <c r="D5" s="32" t="s">
        <v>19</v>
      </c>
      <c r="E5" s="32" t="s">
        <v>236</v>
      </c>
      <c r="F5" s="32"/>
      <c r="G5" s="32" t="s">
        <v>13</v>
      </c>
      <c r="H5" s="32" t="s">
        <v>235</v>
      </c>
      <c r="I5" s="33">
        <v>0.1</v>
      </c>
      <c r="J5" s="33">
        <v>6200</v>
      </c>
      <c r="K5" s="33">
        <v>6200.1</v>
      </c>
      <c r="L5" s="1" t="s">
        <v>352</v>
      </c>
    </row>
    <row r="6" spans="1:12" x14ac:dyDescent="0.3">
      <c r="A6" s="31"/>
      <c r="B6" s="32"/>
      <c r="C6" s="32"/>
      <c r="D6" s="32"/>
      <c r="E6" s="32"/>
      <c r="F6" s="32"/>
      <c r="G6" s="32"/>
      <c r="H6" s="32"/>
      <c r="I6" s="9">
        <f>SUBTOTAL(109,Table120[Esialgne eelarve])</f>
        <v>1443.1</v>
      </c>
      <c r="J6" s="9">
        <f>SUBTOTAL(109,Table120[Muudatused])</f>
        <v>6200</v>
      </c>
      <c r="K6" s="9">
        <f>SUBTOTAL(109,Table120[Muudetud eelarve])</f>
        <v>7643.1</v>
      </c>
      <c r="L6" s="40"/>
    </row>
  </sheetData>
  <pageMargins left="0.7" right="0.7" top="0.75" bottom="0.75" header="0.3" footer="0.3"/>
  <tableParts count="1">
    <tablePart r:id="rId1"/>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7BADB-0E8D-4540-B746-922A182F6695}">
  <sheetPr>
    <tabColor rgb="FF92D050"/>
  </sheetPr>
  <dimension ref="A1:L6"/>
  <sheetViews>
    <sheetView workbookViewId="0">
      <selection activeCell="D19" sqref="D19"/>
    </sheetView>
  </sheetViews>
  <sheetFormatPr defaultRowHeight="13" x14ac:dyDescent="0.3"/>
  <cols>
    <col min="1" max="1" width="18.26953125" style="3" bestFit="1" customWidth="1"/>
    <col min="2" max="2" width="13.26953125" style="3" bestFit="1" customWidth="1"/>
    <col min="3" max="3" width="12.81640625" style="3" bestFit="1" customWidth="1"/>
    <col min="4" max="5" width="10.906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37.1796875" style="26" bestFit="1" customWidth="1"/>
    <col min="13" max="16384" width="8.7265625" style="3"/>
  </cols>
  <sheetData>
    <row r="1" spans="1:12" x14ac:dyDescent="0.3">
      <c r="A1" s="15" t="s">
        <v>325</v>
      </c>
      <c r="L1" s="46" t="s">
        <v>326</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237</v>
      </c>
      <c r="I3" s="9">
        <v>616</v>
      </c>
      <c r="J3" s="8"/>
      <c r="K3" s="9">
        <v>616</v>
      </c>
      <c r="L3" s="24" t="s">
        <v>124</v>
      </c>
    </row>
    <row r="4" spans="1:12" x14ac:dyDescent="0.3">
      <c r="A4" s="30" t="s">
        <v>42</v>
      </c>
      <c r="B4" s="8" t="s">
        <v>40</v>
      </c>
      <c r="C4" s="8" t="s">
        <v>43</v>
      </c>
      <c r="D4" s="8" t="s">
        <v>19</v>
      </c>
      <c r="E4" s="8"/>
      <c r="F4" s="8"/>
      <c r="G4" s="8" t="s">
        <v>13</v>
      </c>
      <c r="H4" s="8" t="s">
        <v>237</v>
      </c>
      <c r="I4" s="9">
        <v>943</v>
      </c>
      <c r="J4" s="8"/>
      <c r="K4" s="9">
        <v>943</v>
      </c>
      <c r="L4" s="24" t="s">
        <v>147</v>
      </c>
    </row>
    <row r="5" spans="1:12" x14ac:dyDescent="0.3">
      <c r="A5" s="31" t="s">
        <v>48</v>
      </c>
      <c r="B5" s="32" t="s">
        <v>17</v>
      </c>
      <c r="C5" s="32" t="s">
        <v>10</v>
      </c>
      <c r="D5" s="32" t="s">
        <v>19</v>
      </c>
      <c r="E5" s="32" t="s">
        <v>238</v>
      </c>
      <c r="F5" s="32"/>
      <c r="G5" s="32" t="s">
        <v>13</v>
      </c>
      <c r="H5" s="32" t="s">
        <v>237</v>
      </c>
      <c r="I5" s="33">
        <v>0.1</v>
      </c>
      <c r="J5" s="33">
        <v>8600</v>
      </c>
      <c r="K5" s="33">
        <v>8600.1</v>
      </c>
      <c r="L5" s="24" t="s">
        <v>125</v>
      </c>
    </row>
    <row r="6" spans="1:12" x14ac:dyDescent="0.3">
      <c r="A6" s="31"/>
      <c r="B6" s="32"/>
      <c r="C6" s="32"/>
      <c r="D6" s="32"/>
      <c r="E6" s="32"/>
      <c r="F6" s="32"/>
      <c r="G6" s="32"/>
      <c r="H6" s="32"/>
      <c r="I6" s="9">
        <f>SUBTOTAL(109,Table122[Esialgne eelarve])</f>
        <v>1559.1</v>
      </c>
      <c r="J6" s="9">
        <f>SUBTOTAL(109,Table122[Muudatused])</f>
        <v>8600</v>
      </c>
      <c r="K6" s="9">
        <f>SUBTOTAL(109,Table122[Muudetud eelarve])</f>
        <v>10159.1</v>
      </c>
      <c r="L6" s="43"/>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40F1A-3E87-4536-BD98-0B4C02086AB8}">
  <sheetPr>
    <tabColor rgb="FF92D050"/>
  </sheetPr>
  <dimension ref="A1:L7"/>
  <sheetViews>
    <sheetView workbookViewId="0">
      <selection activeCell="A2" sqref="A2"/>
    </sheetView>
  </sheetViews>
  <sheetFormatPr defaultRowHeight="13" x14ac:dyDescent="0.3"/>
  <cols>
    <col min="1" max="1" width="13.453125" style="3" bestFit="1" customWidth="1"/>
    <col min="2" max="2" width="13.26953125" style="3" bestFit="1" customWidth="1"/>
    <col min="3" max="3" width="12.81640625" style="3" bestFit="1" customWidth="1"/>
    <col min="4" max="4" width="10.90625" style="3" bestFit="1" customWidth="1"/>
    <col min="5" max="5" width="13.4531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23.81640625" style="13" bestFit="1" customWidth="1"/>
    <col min="13" max="16384" width="8.7265625" style="3"/>
  </cols>
  <sheetData>
    <row r="1" spans="1:12" x14ac:dyDescent="0.3">
      <c r="A1" s="15" t="s">
        <v>327</v>
      </c>
      <c r="L1" s="14" t="s">
        <v>328</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ht="39" x14ac:dyDescent="0.3">
      <c r="A3" s="30" t="s">
        <v>39</v>
      </c>
      <c r="B3" s="8" t="s">
        <v>40</v>
      </c>
      <c r="C3" s="8" t="s">
        <v>41</v>
      </c>
      <c r="D3" s="8" t="s">
        <v>19</v>
      </c>
      <c r="E3" s="8"/>
      <c r="F3" s="8"/>
      <c r="G3" s="8" t="s">
        <v>13</v>
      </c>
      <c r="H3" s="8" t="s">
        <v>239</v>
      </c>
      <c r="I3" s="9">
        <v>11000</v>
      </c>
      <c r="J3" s="8"/>
      <c r="K3" s="9">
        <v>11000</v>
      </c>
      <c r="L3" s="1" t="s">
        <v>350</v>
      </c>
    </row>
    <row r="4" spans="1:12" x14ac:dyDescent="0.3">
      <c r="A4" s="30" t="s">
        <v>80</v>
      </c>
      <c r="B4" s="8" t="s">
        <v>40</v>
      </c>
      <c r="C4" s="8" t="s">
        <v>81</v>
      </c>
      <c r="D4" s="8" t="s">
        <v>19</v>
      </c>
      <c r="E4" s="8"/>
      <c r="F4" s="8"/>
      <c r="G4" s="8" t="s">
        <v>13</v>
      </c>
      <c r="H4" s="8" t="s">
        <v>239</v>
      </c>
      <c r="I4" s="9">
        <v>18719</v>
      </c>
      <c r="J4" s="8"/>
      <c r="K4" s="9">
        <v>18719</v>
      </c>
      <c r="L4" s="1" t="s">
        <v>351</v>
      </c>
    </row>
    <row r="5" spans="1:12" x14ac:dyDescent="0.3">
      <c r="A5" s="30" t="s">
        <v>34</v>
      </c>
      <c r="B5" s="8" t="s">
        <v>17</v>
      </c>
      <c r="C5" s="8" t="s">
        <v>35</v>
      </c>
      <c r="D5" s="8" t="s">
        <v>19</v>
      </c>
      <c r="E5" s="8" t="s">
        <v>240</v>
      </c>
      <c r="F5" s="8"/>
      <c r="G5" s="8" t="s">
        <v>13</v>
      </c>
      <c r="H5" s="8" t="s">
        <v>239</v>
      </c>
      <c r="I5" s="9">
        <v>5000</v>
      </c>
      <c r="J5" s="8"/>
      <c r="K5" s="9">
        <v>5000</v>
      </c>
      <c r="L5" s="39" t="s">
        <v>241</v>
      </c>
    </row>
    <row r="6" spans="1:12" x14ac:dyDescent="0.3">
      <c r="A6" s="31" t="s">
        <v>48</v>
      </c>
      <c r="B6" s="32" t="s">
        <v>17</v>
      </c>
      <c r="C6" s="32" t="s">
        <v>10</v>
      </c>
      <c r="D6" s="32" t="s">
        <v>19</v>
      </c>
      <c r="E6" s="32" t="s">
        <v>242</v>
      </c>
      <c r="F6" s="32"/>
      <c r="G6" s="32" t="s">
        <v>13</v>
      </c>
      <c r="H6" s="32" t="s">
        <v>239</v>
      </c>
      <c r="I6" s="33">
        <v>0.1</v>
      </c>
      <c r="J6" s="33">
        <v>17200</v>
      </c>
      <c r="K6" s="33">
        <v>17200.099999999999</v>
      </c>
      <c r="L6" s="24" t="s">
        <v>125</v>
      </c>
    </row>
    <row r="7" spans="1:12" x14ac:dyDescent="0.3">
      <c r="A7" s="31"/>
      <c r="B7" s="32"/>
      <c r="C7" s="32"/>
      <c r="D7" s="32"/>
      <c r="E7" s="32"/>
      <c r="F7" s="32"/>
      <c r="G7" s="32"/>
      <c r="H7" s="32"/>
      <c r="I7" s="9">
        <f>SUBTOTAL(109,Table123[Esialgne eelarve])</f>
        <v>34719.1</v>
      </c>
      <c r="J7" s="9">
        <f>SUBTOTAL(109,Table123[Muudatused])</f>
        <v>17200</v>
      </c>
      <c r="K7" s="9">
        <f>SUBTOTAL(109,Table123[Muudetud eelarve])</f>
        <v>51919.1</v>
      </c>
      <c r="L7" s="40"/>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CD3801-9F8D-4B30-B23D-18BC904006D8}">
  <sheetPr>
    <tabColor rgb="FF92D050"/>
  </sheetPr>
  <dimension ref="A1:L12"/>
  <sheetViews>
    <sheetView topLeftCell="A5" workbookViewId="0">
      <selection activeCell="L17" sqref="L17"/>
    </sheetView>
  </sheetViews>
  <sheetFormatPr defaultRowHeight="13" x14ac:dyDescent="0.3"/>
  <cols>
    <col min="1" max="1" width="19.90625" style="3" bestFit="1" customWidth="1"/>
    <col min="2" max="2" width="13.26953125" style="3" bestFit="1" customWidth="1"/>
    <col min="3" max="3" width="12.81640625" style="3" bestFit="1" customWidth="1"/>
    <col min="4" max="4" width="10.90625" style="3" bestFit="1" customWidth="1"/>
    <col min="5" max="5" width="13.63281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62.81640625" style="13" customWidth="1"/>
    <col min="13" max="16384" width="8.7265625" style="3"/>
  </cols>
  <sheetData>
    <row r="1" spans="1:12" x14ac:dyDescent="0.3">
      <c r="A1" s="15" t="s">
        <v>329</v>
      </c>
      <c r="L1" s="14" t="s">
        <v>330</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14</v>
      </c>
      <c r="I3" s="9">
        <v>880</v>
      </c>
      <c r="J3" s="8"/>
      <c r="K3" s="36">
        <v>880</v>
      </c>
      <c r="L3" s="24" t="s">
        <v>124</v>
      </c>
    </row>
    <row r="4" spans="1:12" x14ac:dyDescent="0.3">
      <c r="A4" s="30" t="s">
        <v>42</v>
      </c>
      <c r="B4" s="8" t="s">
        <v>40</v>
      </c>
      <c r="C4" s="8" t="s">
        <v>43</v>
      </c>
      <c r="D4" s="8" t="s">
        <v>19</v>
      </c>
      <c r="E4" s="8"/>
      <c r="F4" s="8"/>
      <c r="G4" s="8" t="s">
        <v>13</v>
      </c>
      <c r="H4" s="8" t="s">
        <v>14</v>
      </c>
      <c r="I4" s="9">
        <v>1341</v>
      </c>
      <c r="J4" s="8"/>
      <c r="K4" s="36">
        <v>1341</v>
      </c>
      <c r="L4" s="24" t="s">
        <v>147</v>
      </c>
    </row>
    <row r="5" spans="1:12" ht="52" x14ac:dyDescent="0.3">
      <c r="A5" s="30" t="s">
        <v>16</v>
      </c>
      <c r="B5" s="8" t="s">
        <v>17</v>
      </c>
      <c r="C5" s="8" t="s">
        <v>18</v>
      </c>
      <c r="D5" s="8" t="s">
        <v>19</v>
      </c>
      <c r="E5" s="8" t="s">
        <v>245</v>
      </c>
      <c r="F5" s="8"/>
      <c r="G5" s="8" t="s">
        <v>13</v>
      </c>
      <c r="H5" s="8" t="s">
        <v>73</v>
      </c>
      <c r="I5" s="9">
        <v>23473</v>
      </c>
      <c r="J5" s="9">
        <v>89209</v>
      </c>
      <c r="K5" s="36">
        <v>112682</v>
      </c>
      <c r="L5" s="39" t="s">
        <v>353</v>
      </c>
    </row>
    <row r="6" spans="1:12" x14ac:dyDescent="0.3">
      <c r="A6" s="30" t="s">
        <v>30</v>
      </c>
      <c r="B6" s="8" t="s">
        <v>17</v>
      </c>
      <c r="C6" s="8" t="s">
        <v>31</v>
      </c>
      <c r="D6" s="8" t="s">
        <v>32</v>
      </c>
      <c r="E6" s="8" t="s">
        <v>245</v>
      </c>
      <c r="F6" s="8"/>
      <c r="G6" s="8" t="s">
        <v>13</v>
      </c>
      <c r="H6" s="8" t="s">
        <v>73</v>
      </c>
      <c r="I6" s="9">
        <v>0.1</v>
      </c>
      <c r="J6" s="9">
        <v>54867</v>
      </c>
      <c r="K6" s="36">
        <v>54867.1</v>
      </c>
      <c r="L6" s="39"/>
    </row>
    <row r="7" spans="1:12" x14ac:dyDescent="0.3">
      <c r="A7" s="30" t="s">
        <v>48</v>
      </c>
      <c r="B7" s="8" t="s">
        <v>17</v>
      </c>
      <c r="C7" s="8" t="s">
        <v>10</v>
      </c>
      <c r="D7" s="8" t="s">
        <v>19</v>
      </c>
      <c r="E7" s="8" t="s">
        <v>248</v>
      </c>
      <c r="F7" s="8"/>
      <c r="G7" s="8" t="s">
        <v>13</v>
      </c>
      <c r="H7" s="8" t="s">
        <v>14</v>
      </c>
      <c r="I7" s="9">
        <v>0.1</v>
      </c>
      <c r="J7" s="9">
        <v>13000</v>
      </c>
      <c r="K7" s="36">
        <v>13000.1</v>
      </c>
      <c r="L7" s="24" t="s">
        <v>125</v>
      </c>
    </row>
    <row r="8" spans="1:12" x14ac:dyDescent="0.3">
      <c r="A8" s="30" t="s">
        <v>42</v>
      </c>
      <c r="B8" s="8" t="s">
        <v>17</v>
      </c>
      <c r="C8" s="8" t="s">
        <v>43</v>
      </c>
      <c r="D8" s="8" t="s">
        <v>19</v>
      </c>
      <c r="E8" s="8" t="s">
        <v>244</v>
      </c>
      <c r="F8" s="8"/>
      <c r="G8" s="8" t="s">
        <v>13</v>
      </c>
      <c r="H8" s="8" t="s">
        <v>14</v>
      </c>
      <c r="I8" s="9">
        <v>2560</v>
      </c>
      <c r="J8" s="9"/>
      <c r="K8" s="36">
        <v>2560</v>
      </c>
      <c r="L8" s="39" t="s">
        <v>21</v>
      </c>
    </row>
    <row r="9" spans="1:12" x14ac:dyDescent="0.3">
      <c r="A9" s="30" t="s">
        <v>246</v>
      </c>
      <c r="B9" s="8" t="s">
        <v>17</v>
      </c>
      <c r="C9" s="8" t="s">
        <v>52</v>
      </c>
      <c r="D9" s="8" t="s">
        <v>19</v>
      </c>
      <c r="E9" s="8" t="s">
        <v>247</v>
      </c>
      <c r="F9" s="8"/>
      <c r="G9" s="8" t="s">
        <v>13</v>
      </c>
      <c r="H9" s="8" t="s">
        <v>73</v>
      </c>
      <c r="I9" s="9">
        <v>10250</v>
      </c>
      <c r="J9" s="9"/>
      <c r="K9" s="36">
        <v>10250</v>
      </c>
      <c r="L9" s="39" t="s">
        <v>21</v>
      </c>
    </row>
    <row r="10" spans="1:12" ht="117" x14ac:dyDescent="0.3">
      <c r="A10" s="30" t="s">
        <v>305</v>
      </c>
      <c r="B10" s="8" t="s">
        <v>17</v>
      </c>
      <c r="C10" s="8" t="s">
        <v>309</v>
      </c>
      <c r="D10" s="8" t="s">
        <v>19</v>
      </c>
      <c r="E10" s="8" t="s">
        <v>243</v>
      </c>
      <c r="F10" s="8"/>
      <c r="G10" s="8" t="s">
        <v>13</v>
      </c>
      <c r="H10" s="8" t="s">
        <v>73</v>
      </c>
      <c r="I10" s="9">
        <v>947033</v>
      </c>
      <c r="J10" s="9">
        <v>52142</v>
      </c>
      <c r="K10" s="36">
        <v>999175</v>
      </c>
      <c r="L10" s="39" t="s">
        <v>354</v>
      </c>
    </row>
    <row r="11" spans="1:12" x14ac:dyDescent="0.3">
      <c r="A11" s="31" t="s">
        <v>44</v>
      </c>
      <c r="B11" s="32" t="s">
        <v>37</v>
      </c>
      <c r="C11" s="32" t="s">
        <v>45</v>
      </c>
      <c r="D11" s="32" t="s">
        <v>19</v>
      </c>
      <c r="E11" s="32" t="s">
        <v>21</v>
      </c>
      <c r="F11" s="32"/>
      <c r="G11" s="32" t="s">
        <v>13</v>
      </c>
      <c r="H11" s="32" t="s">
        <v>73</v>
      </c>
      <c r="I11" s="33">
        <v>10900</v>
      </c>
      <c r="J11" s="33"/>
      <c r="K11" s="33">
        <v>10900</v>
      </c>
      <c r="L11" s="40"/>
    </row>
    <row r="12" spans="1:12" x14ac:dyDescent="0.3">
      <c r="A12" s="31"/>
      <c r="B12" s="32"/>
      <c r="C12" s="32"/>
      <c r="D12" s="32"/>
      <c r="E12" s="32"/>
      <c r="F12" s="32"/>
      <c r="G12" s="32"/>
      <c r="H12" s="32"/>
      <c r="I12" s="9">
        <f>SUBTOTAL(109,Table124[Esialgne eelarve])</f>
        <v>996437.2</v>
      </c>
      <c r="J12" s="9">
        <f>SUBTOTAL(109,Table124[Muudatused])</f>
        <v>209218</v>
      </c>
      <c r="K12" s="9">
        <f>SUBTOTAL(109,Table124[Muudetud eelarve])</f>
        <v>1205655.2</v>
      </c>
      <c r="L12" s="40"/>
    </row>
  </sheetData>
  <pageMargins left="0.7" right="0.7" top="0.75" bottom="0.75" header="0.3" footer="0.3"/>
  <tableParts count="1">
    <tablePart r:id="rId1"/>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369A-35CE-4A29-8E21-168874BBA9A3}">
  <sheetPr>
    <tabColor rgb="FF92D050"/>
  </sheetPr>
  <dimension ref="A1:L27"/>
  <sheetViews>
    <sheetView topLeftCell="A13" workbookViewId="0">
      <selection activeCell="A2" sqref="A2"/>
    </sheetView>
  </sheetViews>
  <sheetFormatPr defaultRowHeight="13" x14ac:dyDescent="0.3"/>
  <cols>
    <col min="1" max="1" width="13.81640625" style="3" bestFit="1" customWidth="1"/>
    <col min="2" max="2" width="13.26953125" style="3" bestFit="1" customWidth="1"/>
    <col min="3" max="3" width="12.81640625" style="3" bestFit="1" customWidth="1"/>
    <col min="4" max="4" width="10.90625" style="3" bestFit="1" customWidth="1"/>
    <col min="5" max="5" width="17.54296875" style="3" bestFit="1" customWidth="1"/>
    <col min="6" max="6" width="15.0898437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71.26953125" style="13" bestFit="1" customWidth="1"/>
    <col min="13" max="16384" width="8.7265625" style="3"/>
  </cols>
  <sheetData>
    <row r="1" spans="1:12" x14ac:dyDescent="0.3">
      <c r="A1" s="15" t="s">
        <v>331</v>
      </c>
      <c r="L1" s="14" t="s">
        <v>332</v>
      </c>
    </row>
    <row r="2" spans="1:12" s="25" customFormat="1" ht="26" x14ac:dyDescent="0.35">
      <c r="A2" s="25" t="s">
        <v>0</v>
      </c>
      <c r="B2" s="25" t="s">
        <v>1</v>
      </c>
      <c r="C2" s="25" t="s">
        <v>128</v>
      </c>
      <c r="D2" s="25" t="s">
        <v>2</v>
      </c>
      <c r="E2" s="25" t="s">
        <v>3</v>
      </c>
      <c r="F2" s="25" t="s">
        <v>4</v>
      </c>
      <c r="G2" s="25" t="s">
        <v>5</v>
      </c>
      <c r="H2" s="25" t="s">
        <v>6</v>
      </c>
      <c r="I2" s="25" t="s">
        <v>114</v>
      </c>
      <c r="J2" s="25" t="s">
        <v>7</v>
      </c>
      <c r="K2" s="25" t="s">
        <v>163</v>
      </c>
      <c r="L2" s="25" t="s">
        <v>162</v>
      </c>
    </row>
    <row r="3" spans="1:12" x14ac:dyDescent="0.3">
      <c r="A3" s="3" t="s">
        <v>39</v>
      </c>
      <c r="B3" s="3" t="s">
        <v>40</v>
      </c>
      <c r="C3" s="3" t="s">
        <v>41</v>
      </c>
      <c r="D3" s="3" t="s">
        <v>19</v>
      </c>
      <c r="G3" s="3" t="s">
        <v>24</v>
      </c>
      <c r="H3" s="3" t="s">
        <v>249</v>
      </c>
      <c r="I3" s="4">
        <v>440</v>
      </c>
      <c r="K3" s="45">
        <v>440</v>
      </c>
      <c r="L3" s="24" t="s">
        <v>124</v>
      </c>
    </row>
    <row r="4" spans="1:12" x14ac:dyDescent="0.3">
      <c r="A4" s="3" t="s">
        <v>42</v>
      </c>
      <c r="B4" s="3" t="s">
        <v>40</v>
      </c>
      <c r="C4" s="3" t="s">
        <v>43</v>
      </c>
      <c r="D4" s="3" t="s">
        <v>19</v>
      </c>
      <c r="G4" s="3" t="s">
        <v>24</v>
      </c>
      <c r="H4" s="3" t="s">
        <v>249</v>
      </c>
      <c r="I4" s="45">
        <v>808</v>
      </c>
      <c r="J4" s="50"/>
      <c r="K4" s="52">
        <v>808</v>
      </c>
      <c r="L4" s="51" t="s">
        <v>147</v>
      </c>
    </row>
    <row r="5" spans="1:12" x14ac:dyDescent="0.3">
      <c r="A5" s="3" t="s">
        <v>250</v>
      </c>
      <c r="B5" s="3" t="s">
        <v>40</v>
      </c>
      <c r="C5" s="3" t="s">
        <v>251</v>
      </c>
      <c r="D5" s="3" t="s">
        <v>19</v>
      </c>
      <c r="G5" s="3" t="s">
        <v>206</v>
      </c>
      <c r="H5" s="3" t="s">
        <v>249</v>
      </c>
      <c r="I5" s="4">
        <v>2150</v>
      </c>
      <c r="K5" s="45">
        <v>2150</v>
      </c>
    </row>
    <row r="6" spans="1:12" x14ac:dyDescent="0.3">
      <c r="A6" s="3" t="s">
        <v>193</v>
      </c>
      <c r="B6" s="3" t="s">
        <v>17</v>
      </c>
      <c r="C6" s="3" t="s">
        <v>51</v>
      </c>
      <c r="D6" s="3" t="s">
        <v>19</v>
      </c>
      <c r="E6" s="3" t="s">
        <v>265</v>
      </c>
      <c r="G6" s="3" t="s">
        <v>24</v>
      </c>
      <c r="H6" s="3" t="s">
        <v>249</v>
      </c>
      <c r="I6" s="4">
        <v>770862</v>
      </c>
      <c r="J6" s="4">
        <v>-770862</v>
      </c>
      <c r="K6" s="45">
        <v>0</v>
      </c>
      <c r="L6" s="13" t="s">
        <v>357</v>
      </c>
    </row>
    <row r="7" spans="1:12" ht="26" x14ac:dyDescent="0.3">
      <c r="A7" s="3" t="s">
        <v>50</v>
      </c>
      <c r="B7" s="3" t="s">
        <v>17</v>
      </c>
      <c r="C7" s="3" t="s">
        <v>51</v>
      </c>
      <c r="D7" s="3" t="s">
        <v>19</v>
      </c>
      <c r="E7" s="44" t="s">
        <v>253</v>
      </c>
      <c r="F7" s="44"/>
      <c r="G7" s="44" t="s">
        <v>206</v>
      </c>
      <c r="H7" s="44" t="s">
        <v>249</v>
      </c>
      <c r="I7" s="45">
        <v>1880144</v>
      </c>
      <c r="J7" s="45">
        <v>-1476969</v>
      </c>
      <c r="K7" s="45">
        <v>403175</v>
      </c>
      <c r="L7" s="13" t="s">
        <v>358</v>
      </c>
    </row>
    <row r="8" spans="1:12" x14ac:dyDescent="0.3">
      <c r="A8" s="3" t="s">
        <v>50</v>
      </c>
      <c r="B8" s="3" t="s">
        <v>17</v>
      </c>
      <c r="C8" s="3" t="s">
        <v>51</v>
      </c>
      <c r="D8" s="3" t="s">
        <v>19</v>
      </c>
      <c r="E8" s="44" t="s">
        <v>254</v>
      </c>
      <c r="F8" s="44"/>
      <c r="G8" s="44" t="s">
        <v>206</v>
      </c>
      <c r="H8" s="44" t="s">
        <v>249</v>
      </c>
      <c r="I8" s="45">
        <v>0.1</v>
      </c>
      <c r="J8" s="45">
        <v>716328.99</v>
      </c>
      <c r="K8" s="45">
        <v>716329.09</v>
      </c>
      <c r="L8" s="13" t="s">
        <v>359</v>
      </c>
    </row>
    <row r="9" spans="1:12" x14ac:dyDescent="0.3">
      <c r="A9" s="3" t="s">
        <v>64</v>
      </c>
      <c r="B9" s="3" t="s">
        <v>17</v>
      </c>
      <c r="C9" s="3" t="s">
        <v>65</v>
      </c>
      <c r="D9" s="3" t="s">
        <v>19</v>
      </c>
      <c r="E9" s="44" t="s">
        <v>262</v>
      </c>
      <c r="F9" s="44"/>
      <c r="G9" s="44" t="s">
        <v>206</v>
      </c>
      <c r="H9" s="44" t="s">
        <v>249</v>
      </c>
      <c r="I9" s="45">
        <v>0.1</v>
      </c>
      <c r="J9" s="45">
        <v>372332.99</v>
      </c>
      <c r="K9" s="45">
        <v>372333.09</v>
      </c>
      <c r="L9" s="13" t="s">
        <v>359</v>
      </c>
    </row>
    <row r="10" spans="1:12" x14ac:dyDescent="0.3">
      <c r="A10" s="3" t="s">
        <v>50</v>
      </c>
      <c r="B10" s="3" t="s">
        <v>17</v>
      </c>
      <c r="C10" s="3" t="s">
        <v>51</v>
      </c>
      <c r="D10" s="3" t="s">
        <v>19</v>
      </c>
      <c r="E10" s="44" t="s">
        <v>255</v>
      </c>
      <c r="F10" s="44"/>
      <c r="G10" s="44" t="s">
        <v>206</v>
      </c>
      <c r="H10" s="44" t="s">
        <v>249</v>
      </c>
      <c r="I10" s="45">
        <v>0.1</v>
      </c>
      <c r="J10" s="45">
        <v>629974.99</v>
      </c>
      <c r="K10" s="45">
        <v>629975.09</v>
      </c>
      <c r="L10" s="13" t="s">
        <v>359</v>
      </c>
    </row>
    <row r="11" spans="1:12" x14ac:dyDescent="0.3">
      <c r="A11" s="3" t="s">
        <v>50</v>
      </c>
      <c r="B11" s="3" t="s">
        <v>17</v>
      </c>
      <c r="C11" s="3" t="s">
        <v>51</v>
      </c>
      <c r="D11" s="3" t="s">
        <v>19</v>
      </c>
      <c r="E11" s="44" t="s">
        <v>256</v>
      </c>
      <c r="F11" s="44"/>
      <c r="G11" s="44" t="s">
        <v>206</v>
      </c>
      <c r="H11" s="44" t="s">
        <v>249</v>
      </c>
      <c r="I11" s="45">
        <v>0.1</v>
      </c>
      <c r="J11" s="45">
        <v>119999.99</v>
      </c>
      <c r="K11" s="45">
        <v>120000.09</v>
      </c>
      <c r="L11" s="13" t="s">
        <v>359</v>
      </c>
    </row>
    <row r="12" spans="1:12" x14ac:dyDescent="0.3">
      <c r="A12" s="3" t="s">
        <v>50</v>
      </c>
      <c r="B12" s="3" t="s">
        <v>17</v>
      </c>
      <c r="C12" s="3" t="s">
        <v>51</v>
      </c>
      <c r="D12" s="3" t="s">
        <v>19</v>
      </c>
      <c r="E12" s="44" t="s">
        <v>257</v>
      </c>
      <c r="F12" s="44"/>
      <c r="G12" s="44" t="s">
        <v>206</v>
      </c>
      <c r="H12" s="44" t="s">
        <v>249</v>
      </c>
      <c r="I12" s="45">
        <v>0.1</v>
      </c>
      <c r="J12" s="45">
        <v>752174.99</v>
      </c>
      <c r="K12" s="45">
        <v>752175.09</v>
      </c>
      <c r="L12" s="13" t="s">
        <v>359</v>
      </c>
    </row>
    <row r="13" spans="1:12" ht="78" x14ac:dyDescent="0.3">
      <c r="A13" s="3" t="s">
        <v>77</v>
      </c>
      <c r="B13" s="3" t="s">
        <v>17</v>
      </c>
      <c r="C13" s="3" t="s">
        <v>65</v>
      </c>
      <c r="D13" s="3" t="s">
        <v>19</v>
      </c>
      <c r="E13" s="44" t="s">
        <v>258</v>
      </c>
      <c r="F13" s="44"/>
      <c r="G13" s="44" t="s">
        <v>24</v>
      </c>
      <c r="H13" s="44" t="s">
        <v>249</v>
      </c>
      <c r="I13" s="45">
        <v>395000</v>
      </c>
      <c r="J13" s="45">
        <v>76548</v>
      </c>
      <c r="K13" s="45">
        <v>471548</v>
      </c>
      <c r="L13" s="49" t="s">
        <v>355</v>
      </c>
    </row>
    <row r="14" spans="1:12" x14ac:dyDescent="0.3">
      <c r="A14" s="3" t="s">
        <v>64</v>
      </c>
      <c r="B14" s="3" t="s">
        <v>17</v>
      </c>
      <c r="C14" s="3" t="s">
        <v>65</v>
      </c>
      <c r="D14" s="3" t="s">
        <v>19</v>
      </c>
      <c r="E14" s="3" t="s">
        <v>263</v>
      </c>
      <c r="G14" s="3" t="s">
        <v>24</v>
      </c>
      <c r="H14" s="3" t="s">
        <v>249</v>
      </c>
      <c r="I14" s="4">
        <v>0.1</v>
      </c>
      <c r="J14" s="4">
        <v>70000</v>
      </c>
      <c r="K14" s="45">
        <v>70000.100000000006</v>
      </c>
      <c r="L14" s="13" t="s">
        <v>264</v>
      </c>
    </row>
    <row r="15" spans="1:12" x14ac:dyDescent="0.3">
      <c r="A15" s="3" t="s">
        <v>42</v>
      </c>
      <c r="B15" s="3" t="s">
        <v>17</v>
      </c>
      <c r="C15" s="3" t="s">
        <v>43</v>
      </c>
      <c r="D15" s="3" t="s">
        <v>19</v>
      </c>
      <c r="E15" s="3" t="s">
        <v>252</v>
      </c>
      <c r="G15" s="3" t="s">
        <v>24</v>
      </c>
      <c r="H15" s="3" t="s">
        <v>249</v>
      </c>
      <c r="I15" s="4">
        <v>26333</v>
      </c>
      <c r="K15" s="45">
        <v>26333</v>
      </c>
      <c r="L15" s="13" t="s">
        <v>356</v>
      </c>
    </row>
    <row r="16" spans="1:12" x14ac:dyDescent="0.3">
      <c r="A16" s="3" t="s">
        <v>77</v>
      </c>
      <c r="B16" s="3" t="s">
        <v>17</v>
      </c>
      <c r="C16" s="3" t="s">
        <v>65</v>
      </c>
      <c r="D16" s="3" t="s">
        <v>19</v>
      </c>
      <c r="E16" s="3" t="s">
        <v>259</v>
      </c>
      <c r="G16" s="3" t="s">
        <v>206</v>
      </c>
      <c r="H16" s="3" t="s">
        <v>249</v>
      </c>
      <c r="I16" s="4">
        <v>9004</v>
      </c>
      <c r="J16" s="4"/>
      <c r="K16" s="45">
        <v>9004</v>
      </c>
      <c r="L16" s="54" t="s">
        <v>361</v>
      </c>
    </row>
    <row r="17" spans="1:12" x14ac:dyDescent="0.3">
      <c r="A17" s="3" t="s">
        <v>77</v>
      </c>
      <c r="B17" s="3" t="s">
        <v>17</v>
      </c>
      <c r="C17" s="3" t="s">
        <v>65</v>
      </c>
      <c r="D17" s="3" t="s">
        <v>19</v>
      </c>
      <c r="E17" s="3" t="s">
        <v>260</v>
      </c>
      <c r="G17" s="3" t="s">
        <v>206</v>
      </c>
      <c r="H17" s="3" t="s">
        <v>249</v>
      </c>
      <c r="I17" s="4">
        <v>503500</v>
      </c>
      <c r="J17" s="4"/>
      <c r="K17" s="45">
        <v>503500</v>
      </c>
      <c r="L17" s="3" t="s">
        <v>362</v>
      </c>
    </row>
    <row r="18" spans="1:12" ht="39" x14ac:dyDescent="0.3">
      <c r="A18" s="3" t="s">
        <v>77</v>
      </c>
      <c r="B18" s="3" t="s">
        <v>17</v>
      </c>
      <c r="C18" s="3" t="s">
        <v>65</v>
      </c>
      <c r="D18" s="3" t="s">
        <v>19</v>
      </c>
      <c r="E18" s="3" t="s">
        <v>261</v>
      </c>
      <c r="G18" s="3" t="s">
        <v>206</v>
      </c>
      <c r="H18" s="3" t="s">
        <v>249</v>
      </c>
      <c r="I18" s="4">
        <v>87970</v>
      </c>
      <c r="J18" s="4">
        <v>7918</v>
      </c>
      <c r="K18" s="45">
        <v>95888</v>
      </c>
      <c r="L18" s="13" t="s">
        <v>360</v>
      </c>
    </row>
    <row r="19" spans="1:12" x14ac:dyDescent="0.3">
      <c r="A19" s="3" t="s">
        <v>48</v>
      </c>
      <c r="B19" s="3" t="s">
        <v>17</v>
      </c>
      <c r="C19" s="3" t="s">
        <v>10</v>
      </c>
      <c r="D19" s="3" t="s">
        <v>19</v>
      </c>
      <c r="E19" s="3" t="s">
        <v>266</v>
      </c>
      <c r="G19" s="3" t="s">
        <v>13</v>
      </c>
      <c r="H19" s="3" t="s">
        <v>249</v>
      </c>
      <c r="I19" s="4">
        <v>0.1</v>
      </c>
      <c r="J19" s="4">
        <v>8000</v>
      </c>
      <c r="K19" s="45">
        <v>8000.1</v>
      </c>
      <c r="L19" s="53" t="s">
        <v>125</v>
      </c>
    </row>
    <row r="20" spans="1:12" x14ac:dyDescent="0.3">
      <c r="A20" s="3" t="s">
        <v>34</v>
      </c>
      <c r="B20" s="3" t="s">
        <v>9</v>
      </c>
      <c r="C20" s="3" t="s">
        <v>35</v>
      </c>
      <c r="D20" s="3" t="s">
        <v>11</v>
      </c>
      <c r="E20" s="3" t="s">
        <v>21</v>
      </c>
      <c r="F20" s="3" t="s">
        <v>267</v>
      </c>
      <c r="G20" s="3" t="s">
        <v>21</v>
      </c>
      <c r="H20" s="3" t="s">
        <v>249</v>
      </c>
      <c r="I20" s="4">
        <v>772</v>
      </c>
      <c r="J20" s="4"/>
      <c r="K20" s="45">
        <v>772</v>
      </c>
      <c r="L20" s="13" t="s">
        <v>268</v>
      </c>
    </row>
    <row r="21" spans="1:12" x14ac:dyDescent="0.3">
      <c r="A21" s="3" t="s">
        <v>50</v>
      </c>
      <c r="B21" s="3" t="s">
        <v>9</v>
      </c>
      <c r="C21" s="3" t="s">
        <v>51</v>
      </c>
      <c r="D21" s="3" t="s">
        <v>11</v>
      </c>
      <c r="E21" s="3" t="s">
        <v>21</v>
      </c>
      <c r="F21" s="3" t="s">
        <v>267</v>
      </c>
      <c r="G21" s="3" t="s">
        <v>24</v>
      </c>
      <c r="H21" s="3" t="s">
        <v>249</v>
      </c>
      <c r="I21" s="4">
        <v>292208</v>
      </c>
      <c r="J21" s="4"/>
      <c r="K21" s="45">
        <v>292208</v>
      </c>
      <c r="L21" s="13" t="s">
        <v>268</v>
      </c>
    </row>
    <row r="22" spans="1:12" x14ac:dyDescent="0.3">
      <c r="A22" s="3" t="s">
        <v>8</v>
      </c>
      <c r="B22" s="3" t="s">
        <v>9</v>
      </c>
      <c r="C22" s="3" t="s">
        <v>10</v>
      </c>
      <c r="D22" s="3" t="s">
        <v>11</v>
      </c>
      <c r="E22" s="3" t="s">
        <v>21</v>
      </c>
      <c r="F22" s="3" t="s">
        <v>267</v>
      </c>
      <c r="G22" s="3" t="s">
        <v>21</v>
      </c>
      <c r="H22" s="3" t="s">
        <v>249</v>
      </c>
      <c r="I22" s="4">
        <v>11026</v>
      </c>
      <c r="J22" s="4"/>
      <c r="K22" s="45">
        <v>11026</v>
      </c>
      <c r="L22" s="13" t="s">
        <v>268</v>
      </c>
    </row>
    <row r="23" spans="1:12" x14ac:dyDescent="0.3">
      <c r="A23" s="3" t="s">
        <v>50</v>
      </c>
      <c r="B23" s="3" t="s">
        <v>9</v>
      </c>
      <c r="C23" s="3" t="s">
        <v>51</v>
      </c>
      <c r="D23" s="3" t="s">
        <v>55</v>
      </c>
      <c r="E23" s="3" t="s">
        <v>21</v>
      </c>
      <c r="F23" s="3" t="s">
        <v>269</v>
      </c>
      <c r="G23" s="3" t="s">
        <v>206</v>
      </c>
      <c r="H23" s="3" t="s">
        <v>249</v>
      </c>
      <c r="I23" s="4">
        <v>143576</v>
      </c>
      <c r="J23" s="4"/>
      <c r="K23" s="45">
        <v>143576</v>
      </c>
      <c r="L23" s="13" t="s">
        <v>270</v>
      </c>
    </row>
    <row r="24" spans="1:12" x14ac:dyDescent="0.3">
      <c r="A24" s="3" t="s">
        <v>50</v>
      </c>
      <c r="B24" s="3" t="s">
        <v>9</v>
      </c>
      <c r="C24" s="3" t="s">
        <v>51</v>
      </c>
      <c r="D24" s="3" t="s">
        <v>52</v>
      </c>
      <c r="E24" s="3" t="s">
        <v>21</v>
      </c>
      <c r="F24" s="3" t="s">
        <v>269</v>
      </c>
      <c r="G24" s="3" t="s">
        <v>206</v>
      </c>
      <c r="H24" s="3" t="s">
        <v>249</v>
      </c>
      <c r="I24" s="4">
        <v>335010</v>
      </c>
      <c r="J24" s="4"/>
      <c r="K24" s="45">
        <v>335010</v>
      </c>
      <c r="L24" s="13" t="s">
        <v>270</v>
      </c>
    </row>
    <row r="25" spans="1:12" x14ac:dyDescent="0.3">
      <c r="A25" s="3" t="s">
        <v>50</v>
      </c>
      <c r="B25" s="3" t="s">
        <v>9</v>
      </c>
      <c r="C25" s="3" t="s">
        <v>51</v>
      </c>
      <c r="D25" s="3" t="s">
        <v>55</v>
      </c>
      <c r="E25" s="3" t="s">
        <v>21</v>
      </c>
      <c r="F25" s="3" t="s">
        <v>271</v>
      </c>
      <c r="G25" s="3" t="s">
        <v>206</v>
      </c>
      <c r="H25" s="3" t="s">
        <v>249</v>
      </c>
      <c r="I25" s="4">
        <v>115335</v>
      </c>
      <c r="J25" s="4"/>
      <c r="K25" s="45">
        <v>115335</v>
      </c>
      <c r="L25" s="13" t="s">
        <v>272</v>
      </c>
    </row>
    <row r="26" spans="1:12" x14ac:dyDescent="0.3">
      <c r="A26" s="3" t="s">
        <v>50</v>
      </c>
      <c r="B26" s="3" t="s">
        <v>9</v>
      </c>
      <c r="C26" s="3" t="s">
        <v>51</v>
      </c>
      <c r="D26" s="3" t="s">
        <v>52</v>
      </c>
      <c r="E26" s="3" t="s">
        <v>21</v>
      </c>
      <c r="F26" s="3" t="s">
        <v>271</v>
      </c>
      <c r="G26" s="3" t="s">
        <v>206</v>
      </c>
      <c r="H26" s="3" t="s">
        <v>249</v>
      </c>
      <c r="I26" s="4">
        <v>269116</v>
      </c>
      <c r="J26" s="4"/>
      <c r="K26" s="45">
        <v>269116</v>
      </c>
      <c r="L26" s="13" t="s">
        <v>272</v>
      </c>
    </row>
    <row r="27" spans="1:12" x14ac:dyDescent="0.3">
      <c r="I27" s="4">
        <f>SUBTOTAL(109,Table125[Esialgne eelarve])</f>
        <v>4843254.7000000011</v>
      </c>
      <c r="J27" s="4">
        <f>SUBTOTAL(109,Table125[Muudatused])</f>
        <v>505446.94999999995</v>
      </c>
      <c r="K27" s="4">
        <f>SUBTOTAL(109,Table125[Muudetud eelarve])</f>
        <v>5348701.6500000004</v>
      </c>
    </row>
  </sheetData>
  <pageMargins left="0.7" right="0.7" top="0.75" bottom="0.75" header="0.3" footer="0.3"/>
  <tableParts count="1">
    <tablePart r:id="rId1"/>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721CA3-9209-432A-9E46-65C3FF6A0BBA}">
  <sheetPr>
    <tabColor rgb="FF92D050"/>
  </sheetPr>
  <dimension ref="A1:L8"/>
  <sheetViews>
    <sheetView workbookViewId="0">
      <selection activeCell="A2" sqref="A2"/>
    </sheetView>
  </sheetViews>
  <sheetFormatPr defaultRowHeight="13" x14ac:dyDescent="0.3"/>
  <cols>
    <col min="1" max="1" width="18.26953125" style="3" bestFit="1" customWidth="1"/>
    <col min="2" max="2" width="13.26953125" style="3" bestFit="1" customWidth="1"/>
    <col min="3" max="3" width="12.81640625" style="3" bestFit="1" customWidth="1"/>
    <col min="4" max="5" width="10.906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47.6328125" style="13" customWidth="1"/>
    <col min="13" max="16384" width="8.7265625" style="3"/>
  </cols>
  <sheetData>
    <row r="1" spans="1:12" x14ac:dyDescent="0.3">
      <c r="A1" s="15" t="s">
        <v>333</v>
      </c>
      <c r="L1" s="14" t="s">
        <v>334</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289</v>
      </c>
      <c r="I3" s="9">
        <v>1262</v>
      </c>
      <c r="J3" s="8"/>
      <c r="K3" s="9">
        <v>1262</v>
      </c>
      <c r="L3" s="1" t="s">
        <v>350</v>
      </c>
    </row>
    <row r="4" spans="1:12" x14ac:dyDescent="0.3">
      <c r="A4" s="30" t="s">
        <v>80</v>
      </c>
      <c r="B4" s="8" t="s">
        <v>40</v>
      </c>
      <c r="C4" s="8" t="s">
        <v>81</v>
      </c>
      <c r="D4" s="8" t="s">
        <v>19</v>
      </c>
      <c r="E4" s="8"/>
      <c r="F4" s="8"/>
      <c r="G4" s="8" t="s">
        <v>13</v>
      </c>
      <c r="H4" s="8" t="s">
        <v>289</v>
      </c>
      <c r="I4" s="9">
        <v>812</v>
      </c>
      <c r="J4" s="8"/>
      <c r="K4" s="9">
        <v>812</v>
      </c>
      <c r="L4" s="1" t="s">
        <v>351</v>
      </c>
    </row>
    <row r="5" spans="1:12" x14ac:dyDescent="0.3">
      <c r="A5" s="30" t="s">
        <v>69</v>
      </c>
      <c r="B5" s="8" t="s">
        <v>40</v>
      </c>
      <c r="C5" s="8" t="s">
        <v>70</v>
      </c>
      <c r="D5" s="8" t="s">
        <v>19</v>
      </c>
      <c r="E5" s="8"/>
      <c r="F5" s="8"/>
      <c r="G5" s="8" t="s">
        <v>13</v>
      </c>
      <c r="H5" s="8" t="s">
        <v>289</v>
      </c>
      <c r="I5" s="9">
        <v>0</v>
      </c>
      <c r="J5" s="8"/>
      <c r="K5" s="9">
        <v>0</v>
      </c>
      <c r="L5" s="39"/>
    </row>
    <row r="6" spans="1:12" x14ac:dyDescent="0.3">
      <c r="A6" s="30" t="s">
        <v>71</v>
      </c>
      <c r="B6" s="8" t="s">
        <v>40</v>
      </c>
      <c r="C6" s="8" t="s">
        <v>72</v>
      </c>
      <c r="D6" s="8" t="s">
        <v>19</v>
      </c>
      <c r="E6" s="8"/>
      <c r="F6" s="8"/>
      <c r="G6" s="8" t="s">
        <v>13</v>
      </c>
      <c r="H6" s="8" t="s">
        <v>289</v>
      </c>
      <c r="I6" s="9">
        <v>0</v>
      </c>
      <c r="J6" s="8"/>
      <c r="K6" s="9">
        <v>0</v>
      </c>
      <c r="L6" s="39"/>
    </row>
    <row r="7" spans="1:12" ht="52" x14ac:dyDescent="0.3">
      <c r="A7" s="31" t="s">
        <v>48</v>
      </c>
      <c r="B7" s="32" t="s">
        <v>17</v>
      </c>
      <c r="C7" s="32" t="s">
        <v>10</v>
      </c>
      <c r="D7" s="32" t="s">
        <v>19</v>
      </c>
      <c r="E7" s="32" t="s">
        <v>290</v>
      </c>
      <c r="F7" s="32"/>
      <c r="G7" s="32" t="s">
        <v>13</v>
      </c>
      <c r="H7" s="32" t="s">
        <v>289</v>
      </c>
      <c r="I7" s="33">
        <v>0.1</v>
      </c>
      <c r="J7" s="33">
        <v>16600</v>
      </c>
      <c r="K7" s="33">
        <v>16600.099999999999</v>
      </c>
      <c r="L7" s="55" t="s">
        <v>363</v>
      </c>
    </row>
    <row r="8" spans="1:12" x14ac:dyDescent="0.3">
      <c r="A8" s="31"/>
      <c r="B8" s="32"/>
      <c r="C8" s="32"/>
      <c r="D8" s="32"/>
      <c r="E8" s="32"/>
      <c r="F8" s="32"/>
      <c r="G8" s="32"/>
      <c r="H8" s="32"/>
      <c r="I8" s="9">
        <f>SUBTOTAL(109,Table128[Esialgne eelarve])</f>
        <v>2074.1</v>
      </c>
      <c r="J8" s="9">
        <f>SUBTOTAL(109,Table128[Muudatused])</f>
        <v>16600</v>
      </c>
      <c r="K8" s="9">
        <f>SUBTOTAL(109,Table128[Muudetud eelarve])</f>
        <v>18674.099999999999</v>
      </c>
      <c r="L8" s="40"/>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F640C-230C-49EF-B1B6-78C8CD7218D4}">
  <sheetPr>
    <tabColor rgb="FF92D050"/>
  </sheetPr>
  <dimension ref="A1:L19"/>
  <sheetViews>
    <sheetView topLeftCell="C5" workbookViewId="0">
      <selection activeCell="K2" sqref="K2"/>
    </sheetView>
  </sheetViews>
  <sheetFormatPr defaultRowHeight="13" x14ac:dyDescent="0.3"/>
  <cols>
    <col min="1" max="1" width="19.36328125" style="3" bestFit="1" customWidth="1"/>
    <col min="2" max="2" width="12.1796875" style="3" bestFit="1" customWidth="1"/>
    <col min="3" max="3" width="14.6328125" style="3" bestFit="1" customWidth="1"/>
    <col min="4" max="4" width="20.08984375" style="3" bestFit="1" customWidth="1"/>
    <col min="5" max="5" width="18.36328125" style="3" bestFit="1" customWidth="1"/>
    <col min="6" max="6" width="20" style="3" bestFit="1" customWidth="1"/>
    <col min="7" max="7" width="12.26953125" style="3" bestFit="1" customWidth="1"/>
    <col min="8" max="8" width="11.6328125" style="3" bestFit="1" customWidth="1"/>
    <col min="9" max="9" width="9.1796875" style="3" bestFit="1" customWidth="1"/>
    <col min="10" max="10" width="13.81640625" style="3" bestFit="1" customWidth="1"/>
    <col min="11" max="11" width="15" style="3" customWidth="1"/>
    <col min="12" max="12" width="40.90625" style="13" customWidth="1"/>
    <col min="13" max="16384" width="8.7265625" style="3"/>
  </cols>
  <sheetData>
    <row r="1" spans="1:12" x14ac:dyDescent="0.3">
      <c r="A1" s="15" t="s">
        <v>119</v>
      </c>
      <c r="L1" s="14" t="s">
        <v>120</v>
      </c>
    </row>
    <row r="2" spans="1:12" ht="26" x14ac:dyDescent="0.3">
      <c r="A2" s="12" t="s">
        <v>0</v>
      </c>
      <c r="B2" s="12" t="s">
        <v>1</v>
      </c>
      <c r="C2" s="12" t="s">
        <v>128</v>
      </c>
      <c r="D2" s="12" t="s">
        <v>2</v>
      </c>
      <c r="E2" s="12" t="s">
        <v>3</v>
      </c>
      <c r="F2" s="12" t="s">
        <v>4</v>
      </c>
      <c r="G2" s="12" t="s">
        <v>5</v>
      </c>
      <c r="H2" s="12" t="s">
        <v>6</v>
      </c>
      <c r="I2" s="12" t="s">
        <v>114</v>
      </c>
      <c r="J2" s="12" t="s">
        <v>7</v>
      </c>
      <c r="K2" s="12" t="s">
        <v>163</v>
      </c>
      <c r="L2" s="12" t="s">
        <v>162</v>
      </c>
    </row>
    <row r="3" spans="1:12" x14ac:dyDescent="0.3">
      <c r="A3" s="8" t="s">
        <v>39</v>
      </c>
      <c r="B3" s="8" t="s">
        <v>40</v>
      </c>
      <c r="C3" s="8" t="s">
        <v>41</v>
      </c>
      <c r="D3" s="8" t="s">
        <v>19</v>
      </c>
      <c r="E3" s="8"/>
      <c r="F3" s="8" t="s">
        <v>21</v>
      </c>
      <c r="G3" s="8" t="s">
        <v>13</v>
      </c>
      <c r="H3" s="8" t="s">
        <v>54</v>
      </c>
      <c r="I3" s="9">
        <v>968</v>
      </c>
      <c r="J3" s="9"/>
      <c r="K3" s="9">
        <v>968</v>
      </c>
      <c r="L3" s="11" t="s">
        <v>124</v>
      </c>
    </row>
    <row r="4" spans="1:12" x14ac:dyDescent="0.3">
      <c r="A4" s="8" t="s">
        <v>42</v>
      </c>
      <c r="B4" s="8" t="s">
        <v>40</v>
      </c>
      <c r="C4" s="8" t="s">
        <v>43</v>
      </c>
      <c r="D4" s="8" t="s">
        <v>19</v>
      </c>
      <c r="E4" s="8"/>
      <c r="F4" s="8" t="s">
        <v>21</v>
      </c>
      <c r="G4" s="8" t="s">
        <v>13</v>
      </c>
      <c r="H4" s="8" t="s">
        <v>54</v>
      </c>
      <c r="I4" s="9">
        <v>943</v>
      </c>
      <c r="J4" s="9"/>
      <c r="K4" s="9">
        <v>943</v>
      </c>
      <c r="L4" s="11" t="s">
        <v>124</v>
      </c>
    </row>
    <row r="5" spans="1:12" ht="39" x14ac:dyDescent="0.3">
      <c r="A5" s="8" t="s">
        <v>64</v>
      </c>
      <c r="B5" s="8" t="s">
        <v>17</v>
      </c>
      <c r="C5" s="8" t="s">
        <v>65</v>
      </c>
      <c r="D5" s="8" t="s">
        <v>66</v>
      </c>
      <c r="E5" s="8" t="s">
        <v>67</v>
      </c>
      <c r="F5" s="8" t="s">
        <v>21</v>
      </c>
      <c r="G5" s="8" t="s">
        <v>13</v>
      </c>
      <c r="H5" s="8" t="s">
        <v>54</v>
      </c>
      <c r="I5" s="9">
        <v>0.1</v>
      </c>
      <c r="J5" s="9">
        <v>750000</v>
      </c>
      <c r="K5" s="9">
        <v>750000.1</v>
      </c>
      <c r="L5" s="11" t="s">
        <v>123</v>
      </c>
    </row>
    <row r="6" spans="1:12" x14ac:dyDescent="0.3">
      <c r="A6" s="8" t="s">
        <v>48</v>
      </c>
      <c r="B6" s="8" t="s">
        <v>17</v>
      </c>
      <c r="C6" s="8" t="s">
        <v>10</v>
      </c>
      <c r="D6" s="8" t="s">
        <v>19</v>
      </c>
      <c r="E6" s="8" t="s">
        <v>68</v>
      </c>
      <c r="F6" s="8" t="s">
        <v>21</v>
      </c>
      <c r="G6" s="8" t="s">
        <v>13</v>
      </c>
      <c r="H6" s="8" t="s">
        <v>54</v>
      </c>
      <c r="I6" s="9">
        <v>0.1</v>
      </c>
      <c r="J6" s="9">
        <v>14650</v>
      </c>
      <c r="K6" s="9">
        <v>14650.1</v>
      </c>
      <c r="L6" s="11" t="s">
        <v>125</v>
      </c>
    </row>
    <row r="7" spans="1:12" x14ac:dyDescent="0.3">
      <c r="A7" s="8" t="s">
        <v>30</v>
      </c>
      <c r="B7" s="8" t="s">
        <v>9</v>
      </c>
      <c r="C7" s="8" t="s">
        <v>31</v>
      </c>
      <c r="D7" s="8" t="s">
        <v>56</v>
      </c>
      <c r="E7" s="8"/>
      <c r="F7" s="8" t="s">
        <v>57</v>
      </c>
      <c r="G7" s="8" t="s">
        <v>13</v>
      </c>
      <c r="H7" s="8" t="s">
        <v>54</v>
      </c>
      <c r="I7" s="9">
        <f>428250</f>
        <v>428250</v>
      </c>
      <c r="J7" s="9"/>
      <c r="K7" s="9">
        <v>428250</v>
      </c>
      <c r="L7" s="11" t="s">
        <v>121</v>
      </c>
    </row>
    <row r="8" spans="1:12" x14ac:dyDescent="0.3">
      <c r="A8" s="8" t="s">
        <v>58</v>
      </c>
      <c r="B8" s="8" t="s">
        <v>9</v>
      </c>
      <c r="C8" s="8" t="s">
        <v>59</v>
      </c>
      <c r="D8" s="8" t="s">
        <v>11</v>
      </c>
      <c r="E8" s="8"/>
      <c r="F8" s="8" t="s">
        <v>57</v>
      </c>
      <c r="G8" s="8" t="s">
        <v>13</v>
      </c>
      <c r="H8" s="8" t="s">
        <v>54</v>
      </c>
      <c r="I8" s="9">
        <v>44010</v>
      </c>
      <c r="J8" s="9"/>
      <c r="K8" s="9">
        <v>44010</v>
      </c>
      <c r="L8" s="11" t="s">
        <v>121</v>
      </c>
    </row>
    <row r="9" spans="1:12" x14ac:dyDescent="0.3">
      <c r="A9" s="8" t="s">
        <v>50</v>
      </c>
      <c r="B9" s="8" t="s">
        <v>9</v>
      </c>
      <c r="C9" s="8" t="s">
        <v>51</v>
      </c>
      <c r="D9" s="8" t="s">
        <v>11</v>
      </c>
      <c r="E9" s="8"/>
      <c r="F9" s="8" t="s">
        <v>57</v>
      </c>
      <c r="G9" s="8" t="s">
        <v>13</v>
      </c>
      <c r="H9" s="8" t="s">
        <v>54</v>
      </c>
      <c r="I9" s="9">
        <v>11607</v>
      </c>
      <c r="J9" s="9"/>
      <c r="K9" s="9">
        <v>11607</v>
      </c>
      <c r="L9" s="11" t="s">
        <v>121</v>
      </c>
    </row>
    <row r="10" spans="1:12" x14ac:dyDescent="0.3">
      <c r="A10" s="8" t="s">
        <v>8</v>
      </c>
      <c r="B10" s="8" t="s">
        <v>9</v>
      </c>
      <c r="C10" s="8" t="s">
        <v>10</v>
      </c>
      <c r="D10" s="8" t="s">
        <v>11</v>
      </c>
      <c r="E10" s="8"/>
      <c r="F10" s="8" t="s">
        <v>57</v>
      </c>
      <c r="G10" s="8" t="s">
        <v>13</v>
      </c>
      <c r="H10" s="8" t="s">
        <v>54</v>
      </c>
      <c r="I10" s="9">
        <v>4724</v>
      </c>
      <c r="J10" s="9"/>
      <c r="K10" s="9">
        <v>4724</v>
      </c>
      <c r="L10" s="11" t="s">
        <v>121</v>
      </c>
    </row>
    <row r="11" spans="1:12" ht="39" x14ac:dyDescent="0.3">
      <c r="A11" s="8" t="s">
        <v>50</v>
      </c>
      <c r="B11" s="8" t="s">
        <v>9</v>
      </c>
      <c r="C11" s="8" t="s">
        <v>51</v>
      </c>
      <c r="D11" s="8" t="s">
        <v>19</v>
      </c>
      <c r="E11" s="8"/>
      <c r="F11" s="8" t="s">
        <v>57</v>
      </c>
      <c r="G11" s="8" t="s">
        <v>13</v>
      </c>
      <c r="H11" s="8" t="s">
        <v>54</v>
      </c>
      <c r="I11" s="9">
        <v>0.1</v>
      </c>
      <c r="J11" s="9">
        <v>26750</v>
      </c>
      <c r="K11" s="9">
        <v>26750.1</v>
      </c>
      <c r="L11" s="11" t="s">
        <v>122</v>
      </c>
    </row>
    <row r="12" spans="1:12" x14ac:dyDescent="0.3">
      <c r="A12" s="8" t="s">
        <v>8</v>
      </c>
      <c r="B12" s="8" t="s">
        <v>9</v>
      </c>
      <c r="C12" s="8" t="s">
        <v>10</v>
      </c>
      <c r="D12" s="8" t="s">
        <v>11</v>
      </c>
      <c r="E12" s="8"/>
      <c r="F12" s="8" t="s">
        <v>60</v>
      </c>
      <c r="G12" s="8" t="s">
        <v>13</v>
      </c>
      <c r="H12" s="8" t="s">
        <v>54</v>
      </c>
      <c r="I12" s="9">
        <v>20000</v>
      </c>
      <c r="J12" s="9"/>
      <c r="K12" s="9">
        <v>20000</v>
      </c>
      <c r="L12" s="11" t="s">
        <v>126</v>
      </c>
    </row>
    <row r="13" spans="1:12" x14ac:dyDescent="0.3">
      <c r="A13" s="8" t="s">
        <v>61</v>
      </c>
      <c r="B13" s="8" t="s">
        <v>9</v>
      </c>
      <c r="C13" s="8" t="s">
        <v>62</v>
      </c>
      <c r="D13" s="8" t="s">
        <v>11</v>
      </c>
      <c r="E13" s="8"/>
      <c r="F13" s="8" t="s">
        <v>60</v>
      </c>
      <c r="G13" s="8" t="s">
        <v>13</v>
      </c>
      <c r="H13" s="8" t="s">
        <v>54</v>
      </c>
      <c r="I13" s="9">
        <v>6500</v>
      </c>
      <c r="J13" s="9"/>
      <c r="K13" s="9">
        <v>6500</v>
      </c>
      <c r="L13" s="11" t="s">
        <v>126</v>
      </c>
    </row>
    <row r="14" spans="1:12" ht="26" x14ac:dyDescent="0.3">
      <c r="A14" s="8" t="s">
        <v>50</v>
      </c>
      <c r="B14" s="8" t="s">
        <v>9</v>
      </c>
      <c r="C14" s="8" t="s">
        <v>51</v>
      </c>
      <c r="D14" s="8" t="s">
        <v>52</v>
      </c>
      <c r="E14" s="8"/>
      <c r="F14" s="8" t="s">
        <v>53</v>
      </c>
      <c r="G14" s="8" t="s">
        <v>13</v>
      </c>
      <c r="H14" s="8" t="s">
        <v>54</v>
      </c>
      <c r="I14" s="9">
        <v>8384354.7300000004</v>
      </c>
      <c r="J14" s="9">
        <v>10079516</v>
      </c>
      <c r="K14" s="9">
        <v>18463870.73</v>
      </c>
      <c r="L14" s="11" t="s">
        <v>127</v>
      </c>
    </row>
    <row r="15" spans="1:12" ht="26" x14ac:dyDescent="0.3">
      <c r="A15" s="8" t="s">
        <v>50</v>
      </c>
      <c r="B15" s="8" t="s">
        <v>9</v>
      </c>
      <c r="C15" s="8" t="s">
        <v>51</v>
      </c>
      <c r="D15" s="8" t="s">
        <v>55</v>
      </c>
      <c r="E15" s="8"/>
      <c r="F15" s="8" t="s">
        <v>53</v>
      </c>
      <c r="G15" s="8" t="s">
        <v>13</v>
      </c>
      <c r="H15" s="8" t="s">
        <v>54</v>
      </c>
      <c r="I15" s="9">
        <v>1311903.78</v>
      </c>
      <c r="J15" s="9">
        <v>1577146</v>
      </c>
      <c r="K15" s="9">
        <f>Table18[[#This Row],[Esialgne eelarve]]+Table18[[#This Row],[Muudatused]]</f>
        <v>2889049.7800000003</v>
      </c>
      <c r="L15" s="11" t="s">
        <v>127</v>
      </c>
    </row>
    <row r="16" spans="1:12" x14ac:dyDescent="0.3">
      <c r="I16" s="4">
        <f>SUBTOTAL(109,Table18[Esialgne eelarve])</f>
        <v>10213260.810000001</v>
      </c>
      <c r="J16" s="4">
        <f>SUBTOTAL(109,Table18[Muudatused])</f>
        <v>12448062</v>
      </c>
      <c r="K16" s="4">
        <f>SUBTOTAL(109,Table18[Muudetud eelarve])</f>
        <v>22661322.810000002</v>
      </c>
    </row>
    <row r="19" spans="9:10" x14ac:dyDescent="0.3">
      <c r="I19" s="4"/>
      <c r="J19" s="4"/>
    </row>
  </sheetData>
  <pageMargins left="0.7" right="0.7" top="0.75" bottom="0.75" header="0.3" footer="0.3"/>
  <tableParts count="1">
    <tablePart r:id="rId1"/>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C5A33-6226-4282-82C9-8A00A279F736}">
  <sheetPr>
    <tabColor rgb="FF92D050"/>
  </sheetPr>
  <dimension ref="A1:L21"/>
  <sheetViews>
    <sheetView topLeftCell="A8" workbookViewId="0">
      <selection activeCell="A2" sqref="A2"/>
    </sheetView>
  </sheetViews>
  <sheetFormatPr defaultRowHeight="13" x14ac:dyDescent="0.3"/>
  <cols>
    <col min="1" max="1" width="24.08984375" style="3" bestFit="1" customWidth="1"/>
    <col min="2" max="2" width="17.26953125" style="3" bestFit="1" customWidth="1"/>
    <col min="3" max="3" width="15.453125" style="3" bestFit="1" customWidth="1"/>
    <col min="4" max="4" width="20.90625" style="3" bestFit="1" customWidth="1"/>
    <col min="5" max="5" width="18.81640625" style="3" bestFit="1" customWidth="1"/>
    <col min="6" max="6" width="9.7265625" style="3" bestFit="1" customWidth="1"/>
    <col min="7" max="7" width="10.54296875" style="3" customWidth="1"/>
    <col min="8" max="8" width="11.36328125" style="3" customWidth="1"/>
    <col min="9" max="11" width="10.81640625" style="3" customWidth="1"/>
    <col min="12" max="12" width="39.453125" style="13" customWidth="1"/>
    <col min="13" max="16384" width="8.7265625" style="3"/>
  </cols>
  <sheetData>
    <row r="1" spans="1:12" x14ac:dyDescent="0.3">
      <c r="B1" s="15" t="s">
        <v>335</v>
      </c>
      <c r="L1" s="14" t="s">
        <v>336</v>
      </c>
    </row>
    <row r="2" spans="1:12" s="25" customFormat="1" ht="26" x14ac:dyDescent="0.35">
      <c r="A2" s="12" t="s">
        <v>0</v>
      </c>
      <c r="B2" s="12" t="s">
        <v>1</v>
      </c>
      <c r="C2" s="12" t="s">
        <v>128</v>
      </c>
      <c r="D2" s="12" t="s">
        <v>2</v>
      </c>
      <c r="E2" s="12" t="s">
        <v>3</v>
      </c>
      <c r="F2" s="12" t="s">
        <v>4</v>
      </c>
      <c r="G2" s="12" t="s">
        <v>5</v>
      </c>
      <c r="H2" s="12" t="s">
        <v>6</v>
      </c>
      <c r="I2" s="12" t="s">
        <v>114</v>
      </c>
      <c r="J2" s="12" t="s">
        <v>7</v>
      </c>
      <c r="K2" s="12" t="s">
        <v>163</v>
      </c>
      <c r="L2" s="12" t="s">
        <v>162</v>
      </c>
    </row>
    <row r="3" spans="1:12" x14ac:dyDescent="0.3">
      <c r="A3" s="8" t="s">
        <v>39</v>
      </c>
      <c r="B3" s="8" t="s">
        <v>40</v>
      </c>
      <c r="C3" s="8" t="s">
        <v>41</v>
      </c>
      <c r="D3" s="8" t="s">
        <v>19</v>
      </c>
      <c r="E3" s="8"/>
      <c r="F3" s="8"/>
      <c r="G3" s="8" t="s">
        <v>13</v>
      </c>
      <c r="H3" s="8" t="s">
        <v>292</v>
      </c>
      <c r="I3" s="9">
        <v>1584</v>
      </c>
      <c r="J3" s="8"/>
      <c r="K3" s="36">
        <v>1584</v>
      </c>
      <c r="L3" s="24" t="s">
        <v>124</v>
      </c>
    </row>
    <row r="4" spans="1:12" x14ac:dyDescent="0.3">
      <c r="A4" s="8" t="s">
        <v>42</v>
      </c>
      <c r="B4" s="8" t="s">
        <v>40</v>
      </c>
      <c r="C4" s="8" t="s">
        <v>43</v>
      </c>
      <c r="D4" s="8" t="s">
        <v>19</v>
      </c>
      <c r="E4" s="8"/>
      <c r="F4" s="8"/>
      <c r="G4" s="8" t="s">
        <v>13</v>
      </c>
      <c r="H4" s="8" t="s">
        <v>292</v>
      </c>
      <c r="I4" s="9">
        <v>2290</v>
      </c>
      <c r="J4" s="8"/>
      <c r="K4" s="36">
        <v>2290</v>
      </c>
      <c r="L4" s="24" t="s">
        <v>147</v>
      </c>
    </row>
    <row r="5" spans="1:12" ht="39" x14ac:dyDescent="0.3">
      <c r="A5" s="8" t="s">
        <v>215</v>
      </c>
      <c r="B5" s="8" t="s">
        <v>17</v>
      </c>
      <c r="C5" s="8" t="s">
        <v>31</v>
      </c>
      <c r="D5" s="8" t="s">
        <v>211</v>
      </c>
      <c r="E5" s="8" t="s">
        <v>296</v>
      </c>
      <c r="F5" s="8"/>
      <c r="G5" s="8" t="s">
        <v>13</v>
      </c>
      <c r="H5" s="8" t="s">
        <v>291</v>
      </c>
      <c r="I5" s="9">
        <v>0.1</v>
      </c>
      <c r="J5" s="9">
        <v>50000</v>
      </c>
      <c r="K5" s="36">
        <v>50000.1</v>
      </c>
      <c r="L5" s="11" t="s">
        <v>371</v>
      </c>
    </row>
    <row r="6" spans="1:12" x14ac:dyDescent="0.3">
      <c r="A6" s="8" t="s">
        <v>297</v>
      </c>
      <c r="B6" s="8" t="s">
        <v>17</v>
      </c>
      <c r="C6" s="8" t="s">
        <v>298</v>
      </c>
      <c r="D6" s="8" t="s">
        <v>19</v>
      </c>
      <c r="E6" s="8" t="s">
        <v>299</v>
      </c>
      <c r="F6" s="8"/>
      <c r="G6" s="8" t="s">
        <v>13</v>
      </c>
      <c r="H6" s="8" t="s">
        <v>291</v>
      </c>
      <c r="I6" s="9">
        <v>21000</v>
      </c>
      <c r="J6" s="9"/>
      <c r="K6" s="36">
        <v>21000</v>
      </c>
      <c r="L6" s="19" t="s">
        <v>367</v>
      </c>
    </row>
    <row r="7" spans="1:12" x14ac:dyDescent="0.3">
      <c r="A7" s="8" t="s">
        <v>302</v>
      </c>
      <c r="B7" s="8" t="s">
        <v>17</v>
      </c>
      <c r="C7" s="8" t="s">
        <v>303</v>
      </c>
      <c r="D7" s="8" t="s">
        <v>19</v>
      </c>
      <c r="E7" s="8" t="s">
        <v>304</v>
      </c>
      <c r="F7" s="8"/>
      <c r="G7" s="8" t="s">
        <v>13</v>
      </c>
      <c r="H7" s="8" t="s">
        <v>73</v>
      </c>
      <c r="I7" s="9">
        <v>7900</v>
      </c>
      <c r="J7" s="9"/>
      <c r="K7" s="36">
        <v>7900</v>
      </c>
      <c r="L7" s="11" t="s">
        <v>368</v>
      </c>
    </row>
    <row r="8" spans="1:12" ht="39" x14ac:dyDescent="0.3">
      <c r="A8" s="8" t="s">
        <v>48</v>
      </c>
      <c r="B8" s="8" t="s">
        <v>17</v>
      </c>
      <c r="C8" s="8" t="s">
        <v>10</v>
      </c>
      <c r="D8" s="8" t="s">
        <v>19</v>
      </c>
      <c r="E8" s="8" t="s">
        <v>301</v>
      </c>
      <c r="F8" s="8"/>
      <c r="G8" s="8" t="s">
        <v>13</v>
      </c>
      <c r="H8" s="8" t="s">
        <v>292</v>
      </c>
      <c r="I8" s="9">
        <v>0.1</v>
      </c>
      <c r="J8" s="9">
        <v>14230</v>
      </c>
      <c r="K8" s="36">
        <v>14230.1</v>
      </c>
      <c r="L8" s="11" t="s">
        <v>370</v>
      </c>
    </row>
    <row r="9" spans="1:12" ht="39" x14ac:dyDescent="0.3">
      <c r="A9" s="8" t="s">
        <v>305</v>
      </c>
      <c r="B9" s="8" t="s">
        <v>17</v>
      </c>
      <c r="C9" s="8" t="s">
        <v>306</v>
      </c>
      <c r="D9" s="8" t="s">
        <v>66</v>
      </c>
      <c r="E9" s="8" t="s">
        <v>293</v>
      </c>
      <c r="F9" s="8"/>
      <c r="G9" s="8" t="s">
        <v>13</v>
      </c>
      <c r="H9" s="8" t="s">
        <v>292</v>
      </c>
      <c r="I9" s="9">
        <v>0.1</v>
      </c>
      <c r="J9" s="9">
        <v>66000</v>
      </c>
      <c r="K9" s="36">
        <v>66000</v>
      </c>
      <c r="L9" s="11" t="s">
        <v>372</v>
      </c>
    </row>
    <row r="10" spans="1:12" ht="26" x14ac:dyDescent="0.3">
      <c r="A10" s="8" t="s">
        <v>300</v>
      </c>
      <c r="B10" s="8" t="s">
        <v>17</v>
      </c>
      <c r="C10" s="8" t="s">
        <v>298</v>
      </c>
      <c r="D10" s="8" t="s">
        <v>294</v>
      </c>
      <c r="E10" s="8" t="s">
        <v>295</v>
      </c>
      <c r="F10" s="8"/>
      <c r="G10" s="8" t="s">
        <v>13</v>
      </c>
      <c r="H10" s="8" t="s">
        <v>291</v>
      </c>
      <c r="I10" s="9">
        <v>841861</v>
      </c>
      <c r="J10" s="9"/>
      <c r="K10" s="36">
        <v>841861</v>
      </c>
      <c r="L10" s="11" t="s">
        <v>369</v>
      </c>
    </row>
    <row r="11" spans="1:12" ht="91" x14ac:dyDescent="0.3">
      <c r="A11" s="8" t="s">
        <v>305</v>
      </c>
      <c r="B11" s="8" t="s">
        <v>37</v>
      </c>
      <c r="C11" s="8" t="s">
        <v>139</v>
      </c>
      <c r="D11" s="8" t="s">
        <v>19</v>
      </c>
      <c r="E11" s="8" t="s">
        <v>21</v>
      </c>
      <c r="F11" s="8"/>
      <c r="G11" s="8" t="s">
        <v>13</v>
      </c>
      <c r="H11" s="8" t="s">
        <v>291</v>
      </c>
      <c r="I11" s="9">
        <f>137474.1-12000</f>
        <v>125474.1</v>
      </c>
      <c r="J11" s="9">
        <f>12000+2839</f>
        <v>14839</v>
      </c>
      <c r="K11" s="36">
        <v>140313.1</v>
      </c>
      <c r="L11" s="38" t="s">
        <v>364</v>
      </c>
    </row>
    <row r="12" spans="1:12" x14ac:dyDescent="0.3">
      <c r="I12" s="4">
        <f>SUBTOTAL(109,Table130[Esialgne eelarve])</f>
        <v>1000109.4</v>
      </c>
      <c r="J12" s="4">
        <f>SUBTOTAL(109,Table130[Muudatused])</f>
        <v>145069</v>
      </c>
      <c r="K12" s="4">
        <f>SUBTOTAL(109,Table130[Muudetud eelarve])</f>
        <v>1145178.3</v>
      </c>
    </row>
    <row r="18" spans="9:12" x14ac:dyDescent="0.3">
      <c r="I18" s="4"/>
    </row>
    <row r="19" spans="9:12" x14ac:dyDescent="0.3">
      <c r="L19" s="3"/>
    </row>
    <row r="20" spans="9:12" x14ac:dyDescent="0.3">
      <c r="L20" s="3"/>
    </row>
    <row r="21" spans="9:12" x14ac:dyDescent="0.3">
      <c r="L21" s="3"/>
    </row>
  </sheetData>
  <pageMargins left="0.7" right="0.7" top="0.75" bottom="0.75" header="0.3" footer="0.3"/>
  <tableParts count="1">
    <tablePart r:id="rId1"/>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F69F6A-AAC6-42EE-8241-01DA563C1CAB}">
  <sheetPr>
    <tabColor rgb="FF92D050"/>
  </sheetPr>
  <dimension ref="A1:L16"/>
  <sheetViews>
    <sheetView topLeftCell="A10" workbookViewId="0">
      <selection activeCell="A2" sqref="A2"/>
    </sheetView>
  </sheetViews>
  <sheetFormatPr defaultRowHeight="13" x14ac:dyDescent="0.3"/>
  <cols>
    <col min="1" max="1" width="18.26953125" style="3" bestFit="1" customWidth="1"/>
    <col min="2" max="2" width="13.26953125" style="3" bestFit="1" customWidth="1"/>
    <col min="3" max="3" width="12.81640625" style="3" bestFit="1" customWidth="1"/>
    <col min="4" max="4" width="10.90625" style="3" bestFit="1" customWidth="1"/>
    <col min="5" max="5" width="15.6328125" style="3" bestFit="1" customWidth="1"/>
    <col min="6" max="6" width="15.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3.453125" style="3" bestFit="1" customWidth="1"/>
    <col min="12" max="12" width="32.81640625" style="13" bestFit="1" customWidth="1"/>
    <col min="13" max="16384" width="8.7265625" style="3"/>
  </cols>
  <sheetData>
    <row r="1" spans="1:12" x14ac:dyDescent="0.3">
      <c r="A1" s="15" t="s">
        <v>337</v>
      </c>
      <c r="L1" s="14" t="s">
        <v>338</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273</v>
      </c>
      <c r="I3" s="9">
        <v>968</v>
      </c>
      <c r="J3" s="8"/>
      <c r="K3" s="36">
        <v>968</v>
      </c>
      <c r="L3" s="24" t="s">
        <v>124</v>
      </c>
    </row>
    <row r="4" spans="1:12" x14ac:dyDescent="0.3">
      <c r="A4" s="30" t="s">
        <v>69</v>
      </c>
      <c r="B4" s="8" t="s">
        <v>9</v>
      </c>
      <c r="C4" s="8" t="s">
        <v>70</v>
      </c>
      <c r="D4" s="8" t="s">
        <v>11</v>
      </c>
      <c r="E4" s="8" t="s">
        <v>21</v>
      </c>
      <c r="F4" s="8" t="s">
        <v>275</v>
      </c>
      <c r="G4" s="8" t="s">
        <v>21</v>
      </c>
      <c r="H4" s="8" t="s">
        <v>21</v>
      </c>
      <c r="I4" s="9">
        <v>24155</v>
      </c>
      <c r="J4" s="8"/>
      <c r="K4" s="36">
        <v>24155</v>
      </c>
      <c r="L4" s="39" t="s">
        <v>276</v>
      </c>
    </row>
    <row r="5" spans="1:12" x14ac:dyDescent="0.3">
      <c r="A5" s="30" t="s">
        <v>8</v>
      </c>
      <c r="B5" s="8" t="s">
        <v>9</v>
      </c>
      <c r="C5" s="8" t="s">
        <v>10</v>
      </c>
      <c r="D5" s="8" t="s">
        <v>11</v>
      </c>
      <c r="E5" s="8" t="s">
        <v>21</v>
      </c>
      <c r="F5" s="8" t="s">
        <v>275</v>
      </c>
      <c r="G5" s="8" t="s">
        <v>21</v>
      </c>
      <c r="H5" s="8" t="s">
        <v>21</v>
      </c>
      <c r="I5" s="9">
        <v>109356</v>
      </c>
      <c r="J5" s="8"/>
      <c r="K5" s="36">
        <v>109356</v>
      </c>
      <c r="L5" s="39" t="s">
        <v>276</v>
      </c>
    </row>
    <row r="6" spans="1:12" ht="26" x14ac:dyDescent="0.3">
      <c r="A6" s="30" t="s">
        <v>69</v>
      </c>
      <c r="B6" s="8" t="s">
        <v>9</v>
      </c>
      <c r="C6" s="8" t="s">
        <v>70</v>
      </c>
      <c r="D6" s="8" t="s">
        <v>11</v>
      </c>
      <c r="E6" s="8" t="s">
        <v>21</v>
      </c>
      <c r="F6" s="8" t="s">
        <v>277</v>
      </c>
      <c r="G6" s="8" t="s">
        <v>21</v>
      </c>
      <c r="H6" s="8" t="s">
        <v>273</v>
      </c>
      <c r="I6" s="9">
        <v>28688</v>
      </c>
      <c r="J6" s="8"/>
      <c r="K6" s="36">
        <v>28688</v>
      </c>
      <c r="L6" s="39" t="s">
        <v>278</v>
      </c>
    </row>
    <row r="7" spans="1:12" ht="26" x14ac:dyDescent="0.3">
      <c r="A7" s="30" t="s">
        <v>8</v>
      </c>
      <c r="B7" s="8" t="s">
        <v>9</v>
      </c>
      <c r="C7" s="8" t="s">
        <v>10</v>
      </c>
      <c r="D7" s="8" t="s">
        <v>11</v>
      </c>
      <c r="E7" s="8" t="s">
        <v>21</v>
      </c>
      <c r="F7" s="8" t="s">
        <v>277</v>
      </c>
      <c r="G7" s="8" t="s">
        <v>21</v>
      </c>
      <c r="H7" s="8" t="s">
        <v>273</v>
      </c>
      <c r="I7" s="9">
        <v>226193</v>
      </c>
      <c r="J7" s="8"/>
      <c r="K7" s="36">
        <v>226193</v>
      </c>
      <c r="L7" s="39" t="s">
        <v>278</v>
      </c>
    </row>
    <row r="8" spans="1:12" ht="26" x14ac:dyDescent="0.3">
      <c r="A8" s="30" t="s">
        <v>42</v>
      </c>
      <c r="B8" s="8" t="s">
        <v>9</v>
      </c>
      <c r="C8" s="8" t="s">
        <v>43</v>
      </c>
      <c r="D8" s="8" t="s">
        <v>11</v>
      </c>
      <c r="E8" s="8" t="s">
        <v>21</v>
      </c>
      <c r="F8" s="8" t="s">
        <v>274</v>
      </c>
      <c r="G8" s="8" t="s">
        <v>21</v>
      </c>
      <c r="H8" s="8" t="s">
        <v>273</v>
      </c>
      <c r="I8" s="9">
        <v>28688</v>
      </c>
      <c r="J8" s="8"/>
      <c r="K8" s="36">
        <v>28688</v>
      </c>
      <c r="L8" s="39" t="s">
        <v>279</v>
      </c>
    </row>
    <row r="9" spans="1:12" ht="26" x14ac:dyDescent="0.3">
      <c r="A9" s="30" t="s">
        <v>8</v>
      </c>
      <c r="B9" s="8" t="s">
        <v>9</v>
      </c>
      <c r="C9" s="8" t="s">
        <v>10</v>
      </c>
      <c r="D9" s="8" t="s">
        <v>11</v>
      </c>
      <c r="E9" s="8" t="s">
        <v>21</v>
      </c>
      <c r="F9" s="8" t="s">
        <v>274</v>
      </c>
      <c r="G9" s="8" t="s">
        <v>21</v>
      </c>
      <c r="H9" s="8" t="s">
        <v>273</v>
      </c>
      <c r="I9" s="9">
        <v>166826</v>
      </c>
      <c r="J9" s="8"/>
      <c r="K9" s="36">
        <v>166826</v>
      </c>
      <c r="L9" s="39" t="s">
        <v>279</v>
      </c>
    </row>
    <row r="10" spans="1:12" ht="39" x14ac:dyDescent="0.3">
      <c r="A10" s="30" t="s">
        <v>42</v>
      </c>
      <c r="B10" s="8" t="s">
        <v>9</v>
      </c>
      <c r="C10" s="8" t="s">
        <v>43</v>
      </c>
      <c r="D10" s="8" t="s">
        <v>11</v>
      </c>
      <c r="E10" s="8" t="s">
        <v>21</v>
      </c>
      <c r="F10" s="8" t="s">
        <v>280</v>
      </c>
      <c r="G10" s="8" t="s">
        <v>21</v>
      </c>
      <c r="H10" s="8" t="s">
        <v>273</v>
      </c>
      <c r="I10" s="9">
        <v>28688</v>
      </c>
      <c r="J10" s="8"/>
      <c r="K10" s="36">
        <v>28688</v>
      </c>
      <c r="L10" s="39" t="s">
        <v>281</v>
      </c>
    </row>
    <row r="11" spans="1:12" ht="39" x14ac:dyDescent="0.3">
      <c r="A11" s="30" t="s">
        <v>8</v>
      </c>
      <c r="B11" s="8" t="s">
        <v>9</v>
      </c>
      <c r="C11" s="8" t="s">
        <v>10</v>
      </c>
      <c r="D11" s="8" t="s">
        <v>11</v>
      </c>
      <c r="E11" s="8" t="s">
        <v>21</v>
      </c>
      <c r="F11" s="8" t="s">
        <v>280</v>
      </c>
      <c r="G11" s="8" t="s">
        <v>21</v>
      </c>
      <c r="H11" s="8" t="s">
        <v>273</v>
      </c>
      <c r="I11" s="9">
        <v>166826</v>
      </c>
      <c r="J11" s="8"/>
      <c r="K11" s="36">
        <v>166826</v>
      </c>
      <c r="L11" s="39" t="s">
        <v>281</v>
      </c>
    </row>
    <row r="12" spans="1:12" x14ac:dyDescent="0.3">
      <c r="A12" s="30" t="s">
        <v>50</v>
      </c>
      <c r="B12" s="8" t="s">
        <v>9</v>
      </c>
      <c r="C12" s="8" t="s">
        <v>51</v>
      </c>
      <c r="D12" s="8" t="s">
        <v>55</v>
      </c>
      <c r="E12" s="8" t="s">
        <v>21</v>
      </c>
      <c r="F12" s="8" t="s">
        <v>282</v>
      </c>
      <c r="G12" s="8" t="s">
        <v>63</v>
      </c>
      <c r="H12" s="8" t="s">
        <v>273</v>
      </c>
      <c r="I12" s="9">
        <v>2274062</v>
      </c>
      <c r="J12" s="8"/>
      <c r="K12" s="36">
        <v>2274062</v>
      </c>
      <c r="L12" s="39" t="s">
        <v>21</v>
      </c>
    </row>
    <row r="13" spans="1:12" ht="26" x14ac:dyDescent="0.3">
      <c r="A13" s="30" t="s">
        <v>50</v>
      </c>
      <c r="B13" s="8" t="s">
        <v>9</v>
      </c>
      <c r="C13" s="8" t="s">
        <v>51</v>
      </c>
      <c r="D13" s="8" t="s">
        <v>283</v>
      </c>
      <c r="E13" s="8" t="s">
        <v>21</v>
      </c>
      <c r="F13" s="8" t="s">
        <v>284</v>
      </c>
      <c r="G13" s="8" t="s">
        <v>285</v>
      </c>
      <c r="H13" s="8" t="s">
        <v>273</v>
      </c>
      <c r="I13" s="9">
        <v>0.1</v>
      </c>
      <c r="J13" s="9">
        <v>1044454</v>
      </c>
      <c r="K13" s="36">
        <v>1044454.1</v>
      </c>
      <c r="L13" s="39" t="s">
        <v>373</v>
      </c>
    </row>
    <row r="14" spans="1:12" ht="26" x14ac:dyDescent="0.3">
      <c r="A14" s="30" t="s">
        <v>50</v>
      </c>
      <c r="B14" s="8" t="s">
        <v>9</v>
      </c>
      <c r="C14" s="8" t="s">
        <v>51</v>
      </c>
      <c r="D14" s="8" t="s">
        <v>52</v>
      </c>
      <c r="E14" s="8" t="s">
        <v>21</v>
      </c>
      <c r="F14" s="8" t="s">
        <v>284</v>
      </c>
      <c r="G14" s="8" t="s">
        <v>285</v>
      </c>
      <c r="H14" s="8" t="s">
        <v>273</v>
      </c>
      <c r="I14" s="9">
        <v>19798448</v>
      </c>
      <c r="J14" s="9"/>
      <c r="K14" s="36">
        <v>19798448</v>
      </c>
      <c r="L14" s="39" t="s">
        <v>286</v>
      </c>
    </row>
    <row r="15" spans="1:12" ht="26" x14ac:dyDescent="0.3">
      <c r="A15" s="30" t="s">
        <v>50</v>
      </c>
      <c r="B15" s="8" t="s">
        <v>9</v>
      </c>
      <c r="C15" s="8" t="s">
        <v>51</v>
      </c>
      <c r="D15" s="8" t="s">
        <v>55</v>
      </c>
      <c r="E15" s="8" t="s">
        <v>21</v>
      </c>
      <c r="F15" s="8" t="s">
        <v>287</v>
      </c>
      <c r="G15" s="8" t="s">
        <v>285</v>
      </c>
      <c r="H15" s="8" t="s">
        <v>273</v>
      </c>
      <c r="I15" s="9">
        <v>4323662</v>
      </c>
      <c r="J15" s="9"/>
      <c r="K15" s="36">
        <v>4323662</v>
      </c>
      <c r="L15" s="39" t="s">
        <v>288</v>
      </c>
    </row>
    <row r="16" spans="1:12" x14ac:dyDescent="0.3">
      <c r="A16" s="31"/>
      <c r="B16" s="32"/>
      <c r="C16" s="32"/>
      <c r="D16" s="32"/>
      <c r="E16" s="32"/>
      <c r="F16" s="32"/>
      <c r="G16" s="32"/>
      <c r="H16" s="32"/>
      <c r="I16" s="9">
        <f>SUBTOTAL(109,Table127[Esialgne eelarve])</f>
        <v>27176560.100000001</v>
      </c>
      <c r="J16" s="9">
        <f>SUBTOTAL(109,Table127[Muudatused])</f>
        <v>1044454</v>
      </c>
      <c r="K16" s="9">
        <f>SUBTOTAL(109,Table127[Muudetud eelarve])</f>
        <v>28221014.100000001</v>
      </c>
      <c r="L16" s="40"/>
    </row>
  </sheetData>
  <pageMargins left="0.7" right="0.7" top="0.75" bottom="0.75" header="0.3" footer="0.3"/>
  <tableParts count="1">
    <tablePart r:id="rId1"/>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C66AC-0BAA-4D1D-8F74-372A45A5C6B0}">
  <sheetPr>
    <tabColor rgb="FF92D050"/>
  </sheetPr>
  <dimension ref="A1:L9"/>
  <sheetViews>
    <sheetView workbookViewId="0">
      <selection activeCell="A2" sqref="A2"/>
    </sheetView>
  </sheetViews>
  <sheetFormatPr defaultRowHeight="13" x14ac:dyDescent="0.3"/>
  <cols>
    <col min="1" max="1" width="18.26953125" style="3" bestFit="1" customWidth="1"/>
    <col min="2" max="2" width="13.26953125" style="3" bestFit="1" customWidth="1"/>
    <col min="3" max="3" width="12.81640625" style="3" bestFit="1" customWidth="1"/>
    <col min="4" max="4" width="10.90625" style="3" bestFit="1" customWidth="1"/>
    <col min="5" max="5" width="11.5429687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46.7265625" style="13" bestFit="1" customWidth="1"/>
    <col min="13" max="16384" width="8.7265625" style="3"/>
  </cols>
  <sheetData>
    <row r="1" spans="1:12" x14ac:dyDescent="0.3">
      <c r="A1" s="15" t="s">
        <v>339</v>
      </c>
      <c r="L1" s="14" t="s">
        <v>340</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169</v>
      </c>
      <c r="I3" s="9">
        <v>792</v>
      </c>
      <c r="J3" s="8"/>
      <c r="K3" s="9">
        <v>792</v>
      </c>
      <c r="L3" s="24" t="s">
        <v>124</v>
      </c>
    </row>
    <row r="4" spans="1:12" x14ac:dyDescent="0.3">
      <c r="A4" s="30" t="s">
        <v>42</v>
      </c>
      <c r="B4" s="8" t="s">
        <v>40</v>
      </c>
      <c r="C4" s="8" t="s">
        <v>43</v>
      </c>
      <c r="D4" s="8" t="s">
        <v>19</v>
      </c>
      <c r="E4" s="8"/>
      <c r="F4" s="8"/>
      <c r="G4" s="8" t="s">
        <v>13</v>
      </c>
      <c r="H4" s="8" t="s">
        <v>169</v>
      </c>
      <c r="I4" s="9">
        <v>1212</v>
      </c>
      <c r="J4" s="8"/>
      <c r="K4" s="9">
        <v>1212</v>
      </c>
      <c r="L4" s="24" t="s">
        <v>147</v>
      </c>
    </row>
    <row r="5" spans="1:12" ht="52" x14ac:dyDescent="0.3">
      <c r="A5" s="30" t="s">
        <v>42</v>
      </c>
      <c r="B5" s="8" t="s">
        <v>17</v>
      </c>
      <c r="C5" s="8" t="s">
        <v>43</v>
      </c>
      <c r="D5" s="8" t="s">
        <v>19</v>
      </c>
      <c r="E5" s="8" t="s">
        <v>170</v>
      </c>
      <c r="F5" s="8"/>
      <c r="G5" s="8" t="s">
        <v>13</v>
      </c>
      <c r="H5" s="8" t="s">
        <v>169</v>
      </c>
      <c r="I5" s="9">
        <v>0.1</v>
      </c>
      <c r="J5" s="9">
        <v>10000</v>
      </c>
      <c r="K5" s="9">
        <v>10000.1</v>
      </c>
      <c r="L5" s="39" t="s">
        <v>310</v>
      </c>
    </row>
    <row r="6" spans="1:12" x14ac:dyDescent="0.3">
      <c r="A6" s="30" t="s">
        <v>48</v>
      </c>
      <c r="B6" s="8" t="s">
        <v>17</v>
      </c>
      <c r="C6" s="8" t="s">
        <v>10</v>
      </c>
      <c r="D6" s="8" t="s">
        <v>19</v>
      </c>
      <c r="E6" s="8" t="s">
        <v>171</v>
      </c>
      <c r="F6" s="8"/>
      <c r="G6" s="8" t="s">
        <v>13</v>
      </c>
      <c r="H6" s="8" t="s">
        <v>169</v>
      </c>
      <c r="I6" s="9">
        <v>0.1</v>
      </c>
      <c r="J6" s="9">
        <v>11200</v>
      </c>
      <c r="K6" s="9">
        <v>11200.1</v>
      </c>
      <c r="L6" s="13" t="s">
        <v>125</v>
      </c>
    </row>
    <row r="7" spans="1:12" x14ac:dyDescent="0.3">
      <c r="A7" s="30" t="s">
        <v>172</v>
      </c>
      <c r="B7" s="8" t="s">
        <v>37</v>
      </c>
      <c r="C7" s="8" t="s">
        <v>173</v>
      </c>
      <c r="D7" s="8" t="s">
        <v>19</v>
      </c>
      <c r="E7" s="8" t="s">
        <v>21</v>
      </c>
      <c r="F7" s="8"/>
      <c r="G7" s="8" t="s">
        <v>13</v>
      </c>
      <c r="H7" s="8" t="s">
        <v>169</v>
      </c>
      <c r="I7" s="9">
        <v>171</v>
      </c>
      <c r="J7" s="9"/>
      <c r="K7" s="9">
        <v>171</v>
      </c>
      <c r="L7" s="39" t="s">
        <v>21</v>
      </c>
    </row>
    <row r="8" spans="1:12" x14ac:dyDescent="0.3">
      <c r="A8" s="31" t="s">
        <v>174</v>
      </c>
      <c r="B8" s="32" t="s">
        <v>37</v>
      </c>
      <c r="C8" s="32" t="s">
        <v>175</v>
      </c>
      <c r="D8" s="32" t="s">
        <v>19</v>
      </c>
      <c r="E8" s="32" t="s">
        <v>21</v>
      </c>
      <c r="F8" s="32"/>
      <c r="G8" s="32" t="s">
        <v>13</v>
      </c>
      <c r="H8" s="32" t="s">
        <v>169</v>
      </c>
      <c r="I8" s="33">
        <v>4739</v>
      </c>
      <c r="J8" s="33"/>
      <c r="K8" s="33">
        <v>4739</v>
      </c>
      <c r="L8" s="40" t="s">
        <v>21</v>
      </c>
    </row>
    <row r="9" spans="1:12" x14ac:dyDescent="0.3">
      <c r="A9" s="31"/>
      <c r="B9" s="32"/>
      <c r="C9" s="32"/>
      <c r="D9" s="32"/>
      <c r="E9" s="32"/>
      <c r="F9" s="32"/>
      <c r="G9" s="32"/>
      <c r="H9" s="32"/>
      <c r="I9" s="9">
        <f>SUBTOTAL(109,Table16[Esialgne eelarve])</f>
        <v>6914.2</v>
      </c>
      <c r="J9" s="9">
        <f>SUBTOTAL(109,Table16[Muudatused])</f>
        <v>21200</v>
      </c>
      <c r="K9" s="9">
        <f>SUBTOTAL(109,Table16[Muudetud eelarve])</f>
        <v>28114.2</v>
      </c>
      <c r="L9" s="40"/>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D7F08-BA26-4380-90EC-FBD938B0477B}">
  <sheetPr>
    <tabColor rgb="FF92D050"/>
  </sheetPr>
  <dimension ref="A1:L13"/>
  <sheetViews>
    <sheetView workbookViewId="0">
      <selection activeCell="I11" activeCellId="1" sqref="I3:I9 I11"/>
    </sheetView>
  </sheetViews>
  <sheetFormatPr defaultRowHeight="13" x14ac:dyDescent="0.3"/>
  <cols>
    <col min="1" max="1" width="22.90625" style="3" bestFit="1" customWidth="1"/>
    <col min="2" max="2" width="11.7265625" style="3" bestFit="1" customWidth="1"/>
    <col min="3" max="3" width="14.6328125" style="3" bestFit="1" customWidth="1"/>
    <col min="4" max="4" width="20.08984375" style="3" bestFit="1" customWidth="1"/>
    <col min="5" max="5" width="19.81640625" style="3" bestFit="1" customWidth="1"/>
    <col min="6" max="6" width="7.90625" style="3" bestFit="1" customWidth="1"/>
    <col min="7" max="7" width="12.26953125" style="3" bestFit="1" customWidth="1"/>
    <col min="8" max="8" width="11.6328125" style="3" bestFit="1" customWidth="1"/>
    <col min="9" max="11" width="8.90625" style="3" customWidth="1"/>
    <col min="12" max="12" width="61.26953125" style="5" customWidth="1"/>
    <col min="13" max="16384" width="8.7265625" style="3"/>
  </cols>
  <sheetData>
    <row r="1" spans="1:12" x14ac:dyDescent="0.3">
      <c r="A1" s="15" t="s">
        <v>129</v>
      </c>
      <c r="L1" s="16" t="s">
        <v>130</v>
      </c>
    </row>
    <row r="2" spans="1:12" ht="26" x14ac:dyDescent="0.3">
      <c r="A2" s="7" t="s">
        <v>0</v>
      </c>
      <c r="B2" s="7" t="s">
        <v>1</v>
      </c>
      <c r="C2" s="12" t="s">
        <v>128</v>
      </c>
      <c r="D2" s="7" t="s">
        <v>2</v>
      </c>
      <c r="E2" s="7" t="s">
        <v>3</v>
      </c>
      <c r="F2" s="7" t="s">
        <v>4</v>
      </c>
      <c r="G2" s="7" t="s">
        <v>5</v>
      </c>
      <c r="H2" s="7" t="s">
        <v>6</v>
      </c>
      <c r="I2" s="12" t="s">
        <v>114</v>
      </c>
      <c r="J2" s="7" t="s">
        <v>7</v>
      </c>
      <c r="K2" s="12" t="s">
        <v>163</v>
      </c>
      <c r="L2" s="12" t="s">
        <v>162</v>
      </c>
    </row>
    <row r="3" spans="1:12" x14ac:dyDescent="0.3">
      <c r="A3" s="8" t="s">
        <v>87</v>
      </c>
      <c r="B3" s="8" t="s">
        <v>40</v>
      </c>
      <c r="C3" s="8" t="s">
        <v>41</v>
      </c>
      <c r="D3" s="8" t="s">
        <v>19</v>
      </c>
      <c r="E3" s="8" t="s">
        <v>21</v>
      </c>
      <c r="F3" s="8"/>
      <c r="G3" s="8" t="s">
        <v>13</v>
      </c>
      <c r="H3" s="8" t="s">
        <v>76</v>
      </c>
      <c r="I3" s="9">
        <v>1860</v>
      </c>
      <c r="J3" s="9"/>
      <c r="K3" s="9">
        <v>1860</v>
      </c>
      <c r="L3" s="10" t="s">
        <v>21</v>
      </c>
    </row>
    <row r="4" spans="1:12" x14ac:dyDescent="0.3">
      <c r="A4" s="8" t="s">
        <v>39</v>
      </c>
      <c r="B4" s="8" t="s">
        <v>40</v>
      </c>
      <c r="C4" s="8" t="s">
        <v>41</v>
      </c>
      <c r="D4" s="8" t="s">
        <v>19</v>
      </c>
      <c r="E4" s="8" t="s">
        <v>21</v>
      </c>
      <c r="F4" s="8"/>
      <c r="G4" s="8" t="s">
        <v>13</v>
      </c>
      <c r="H4" s="8" t="s">
        <v>88</v>
      </c>
      <c r="I4" s="9">
        <v>440</v>
      </c>
      <c r="J4" s="9"/>
      <c r="K4" s="9">
        <v>440</v>
      </c>
      <c r="L4" s="10" t="s">
        <v>21</v>
      </c>
    </row>
    <row r="5" spans="1:12" x14ac:dyDescent="0.3">
      <c r="A5" s="8" t="s">
        <v>80</v>
      </c>
      <c r="B5" s="8" t="s">
        <v>40</v>
      </c>
      <c r="C5" s="8" t="s">
        <v>81</v>
      </c>
      <c r="D5" s="8" t="s">
        <v>19</v>
      </c>
      <c r="E5" s="8" t="s">
        <v>21</v>
      </c>
      <c r="F5" s="8"/>
      <c r="G5" s="8" t="s">
        <v>13</v>
      </c>
      <c r="H5" s="8" t="s">
        <v>88</v>
      </c>
      <c r="I5" s="9">
        <v>1077</v>
      </c>
      <c r="J5" s="9"/>
      <c r="K5" s="9">
        <v>1077</v>
      </c>
      <c r="L5" s="10" t="s">
        <v>21</v>
      </c>
    </row>
    <row r="6" spans="1:12" ht="52" x14ac:dyDescent="0.3">
      <c r="A6" s="8" t="s">
        <v>80</v>
      </c>
      <c r="B6" s="8" t="s">
        <v>17</v>
      </c>
      <c r="C6" s="8" t="s">
        <v>81</v>
      </c>
      <c r="D6" s="8" t="s">
        <v>19</v>
      </c>
      <c r="E6" s="8" t="s">
        <v>82</v>
      </c>
      <c r="F6" s="8"/>
      <c r="G6" s="8" t="s">
        <v>13</v>
      </c>
      <c r="H6" s="8" t="s">
        <v>73</v>
      </c>
      <c r="I6" s="9">
        <v>8000</v>
      </c>
      <c r="J6" s="9">
        <v>20000</v>
      </c>
      <c r="K6" s="9">
        <v>28000</v>
      </c>
      <c r="L6" s="10" t="s">
        <v>132</v>
      </c>
    </row>
    <row r="7" spans="1:12" x14ac:dyDescent="0.3">
      <c r="A7" s="8" t="s">
        <v>69</v>
      </c>
      <c r="B7" s="8" t="s">
        <v>17</v>
      </c>
      <c r="C7" s="8" t="s">
        <v>70</v>
      </c>
      <c r="D7" s="8" t="s">
        <v>19</v>
      </c>
      <c r="E7" s="8" t="s">
        <v>86</v>
      </c>
      <c r="F7" s="8"/>
      <c r="G7" s="8" t="s">
        <v>13</v>
      </c>
      <c r="H7" s="8" t="s">
        <v>73</v>
      </c>
      <c r="I7" s="9">
        <v>5000</v>
      </c>
      <c r="J7" s="9"/>
      <c r="K7" s="9">
        <v>5000</v>
      </c>
      <c r="L7" s="10" t="s">
        <v>133</v>
      </c>
    </row>
    <row r="8" spans="1:12" x14ac:dyDescent="0.3">
      <c r="A8" s="8" t="s">
        <v>69</v>
      </c>
      <c r="B8" s="8" t="s">
        <v>37</v>
      </c>
      <c r="C8" s="8" t="s">
        <v>70</v>
      </c>
      <c r="D8" s="8" t="s">
        <v>19</v>
      </c>
      <c r="E8" s="8"/>
      <c r="F8" s="8"/>
      <c r="G8" s="8" t="s">
        <v>13</v>
      </c>
      <c r="H8" s="8" t="s">
        <v>73</v>
      </c>
      <c r="I8" s="9">
        <v>160000</v>
      </c>
      <c r="J8" s="8"/>
      <c r="K8" s="9">
        <v>160000</v>
      </c>
      <c r="L8" s="10"/>
    </row>
    <row r="9" spans="1:12" ht="26" x14ac:dyDescent="0.3">
      <c r="A9" s="8" t="s">
        <v>74</v>
      </c>
      <c r="B9" s="8" t="s">
        <v>40</v>
      </c>
      <c r="C9" s="8" t="s">
        <v>75</v>
      </c>
      <c r="D9" s="8" t="s">
        <v>19</v>
      </c>
      <c r="E9" s="8"/>
      <c r="F9" s="8"/>
      <c r="G9" s="8" t="s">
        <v>13</v>
      </c>
      <c r="H9" s="8" t="s">
        <v>76</v>
      </c>
      <c r="I9" s="9">
        <v>94542</v>
      </c>
      <c r="J9" s="9">
        <v>6000</v>
      </c>
      <c r="K9" s="9">
        <v>100542</v>
      </c>
      <c r="L9" s="10" t="s">
        <v>131</v>
      </c>
    </row>
    <row r="10" spans="1:12" x14ac:dyDescent="0.3">
      <c r="A10" s="8" t="s">
        <v>77</v>
      </c>
      <c r="B10" s="8" t="s">
        <v>40</v>
      </c>
      <c r="C10" s="8" t="s">
        <v>51</v>
      </c>
      <c r="D10" s="8" t="s">
        <v>78</v>
      </c>
      <c r="E10" s="8"/>
      <c r="F10" s="8"/>
      <c r="G10" s="8" t="s">
        <v>13</v>
      </c>
      <c r="H10" s="8" t="s">
        <v>73</v>
      </c>
      <c r="I10" s="9">
        <v>50000</v>
      </c>
      <c r="J10" s="9"/>
      <c r="K10" s="9">
        <v>50000</v>
      </c>
      <c r="L10" s="10" t="s">
        <v>79</v>
      </c>
    </row>
    <row r="11" spans="1:12" x14ac:dyDescent="0.3">
      <c r="A11" s="8" t="s">
        <v>83</v>
      </c>
      <c r="B11" s="8" t="s">
        <v>17</v>
      </c>
      <c r="C11" s="8" t="s">
        <v>84</v>
      </c>
      <c r="D11" s="8" t="s">
        <v>19</v>
      </c>
      <c r="E11" s="8" t="s">
        <v>85</v>
      </c>
      <c r="F11" s="8"/>
      <c r="G11" s="8" t="s">
        <v>13</v>
      </c>
      <c r="H11" s="8" t="s">
        <v>73</v>
      </c>
      <c r="I11" s="9">
        <v>6000</v>
      </c>
      <c r="J11" s="9"/>
      <c r="K11" s="9">
        <v>6000</v>
      </c>
      <c r="L11" s="10"/>
    </row>
    <row r="12" spans="1:12" x14ac:dyDescent="0.3">
      <c r="A12" s="8" t="s">
        <v>48</v>
      </c>
      <c r="B12" s="8" t="s">
        <v>17</v>
      </c>
      <c r="C12" s="8" t="s">
        <v>10</v>
      </c>
      <c r="D12" s="8" t="s">
        <v>19</v>
      </c>
      <c r="E12" s="8" t="s">
        <v>89</v>
      </c>
      <c r="F12" s="8"/>
      <c r="G12" s="8" t="s">
        <v>13</v>
      </c>
      <c r="H12" s="8" t="s">
        <v>88</v>
      </c>
      <c r="I12" s="9">
        <v>0.1</v>
      </c>
      <c r="J12" s="9">
        <v>5900</v>
      </c>
      <c r="K12" s="9">
        <v>5900.1</v>
      </c>
      <c r="L12" s="10" t="s">
        <v>125</v>
      </c>
    </row>
    <row r="13" spans="1:12" x14ac:dyDescent="0.3">
      <c r="I13" s="4">
        <f>SUBTOTAL(109,Table110[Esialgne eelarve])</f>
        <v>326919.09999999998</v>
      </c>
      <c r="J13" s="4">
        <f>SUBTOTAL(109,Table110[Muudatused])</f>
        <v>31900</v>
      </c>
      <c r="K13" s="4">
        <f>SUBTOTAL(109,Table110[Muudetud eelarve])</f>
        <v>358819.1</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CB2B50-CC46-4ED0-9C2E-F23EEB57C923}">
  <sheetPr>
    <tabColor rgb="FF92D050"/>
  </sheetPr>
  <dimension ref="A1:L18"/>
  <sheetViews>
    <sheetView workbookViewId="0">
      <selection activeCell="L3" sqref="L3:L4"/>
    </sheetView>
  </sheetViews>
  <sheetFormatPr defaultRowHeight="13" x14ac:dyDescent="0.3"/>
  <cols>
    <col min="1" max="1" width="19.36328125" style="3" bestFit="1" customWidth="1"/>
    <col min="2" max="2" width="11.7265625" style="3" bestFit="1" customWidth="1"/>
    <col min="3" max="3" width="14.6328125" style="3" bestFit="1" customWidth="1"/>
    <col min="4" max="4" width="20.08984375" style="3" bestFit="1" customWidth="1"/>
    <col min="5" max="5" width="18.6328125" style="3" bestFit="1" customWidth="1"/>
    <col min="6" max="6" width="7.90625" style="3" bestFit="1" customWidth="1"/>
    <col min="7" max="7" width="12.26953125" style="3" bestFit="1" customWidth="1"/>
    <col min="8" max="8" width="11.6328125" style="3" bestFit="1" customWidth="1"/>
    <col min="9" max="9" width="9.1796875" style="3" bestFit="1" customWidth="1"/>
    <col min="10" max="10" width="13.81640625" style="3" bestFit="1" customWidth="1"/>
    <col min="11" max="11" width="23.90625" style="3" bestFit="1" customWidth="1"/>
    <col min="12" max="12" width="55.7265625" style="5" customWidth="1"/>
    <col min="13" max="16384" width="8.7265625" style="3"/>
  </cols>
  <sheetData>
    <row r="1" spans="1:12" x14ac:dyDescent="0.3">
      <c r="A1" s="15" t="s">
        <v>135</v>
      </c>
      <c r="L1" s="16" t="s">
        <v>136</v>
      </c>
    </row>
    <row r="2" spans="1:12" ht="26" x14ac:dyDescent="0.3">
      <c r="A2" s="7" t="s">
        <v>0</v>
      </c>
      <c r="B2" s="7" t="s">
        <v>1</v>
      </c>
      <c r="C2" s="12" t="s">
        <v>128</v>
      </c>
      <c r="D2" s="7" t="s">
        <v>2</v>
      </c>
      <c r="E2" s="7" t="s">
        <v>3</v>
      </c>
      <c r="F2" s="7" t="s">
        <v>4</v>
      </c>
      <c r="G2" s="7" t="s">
        <v>5</v>
      </c>
      <c r="H2" s="7" t="s">
        <v>6</v>
      </c>
      <c r="I2" s="12" t="s">
        <v>114</v>
      </c>
      <c r="J2" s="7" t="s">
        <v>7</v>
      </c>
      <c r="K2" s="12" t="s">
        <v>163</v>
      </c>
      <c r="L2" s="12" t="s">
        <v>162</v>
      </c>
    </row>
    <row r="3" spans="1:12" x14ac:dyDescent="0.3">
      <c r="A3" s="8" t="s">
        <v>39</v>
      </c>
      <c r="B3" s="8" t="s">
        <v>40</v>
      </c>
      <c r="C3" s="8" t="s">
        <v>41</v>
      </c>
      <c r="D3" s="8" t="s">
        <v>19</v>
      </c>
      <c r="E3" s="8" t="s">
        <v>21</v>
      </c>
      <c r="F3" s="8"/>
      <c r="G3" s="8" t="s">
        <v>13</v>
      </c>
      <c r="H3" s="8" t="s">
        <v>92</v>
      </c>
      <c r="I3" s="9">
        <v>1577</v>
      </c>
      <c r="J3" s="9"/>
      <c r="K3" s="9">
        <v>1577</v>
      </c>
      <c r="L3" s="1" t="s">
        <v>350</v>
      </c>
    </row>
    <row r="4" spans="1:12" x14ac:dyDescent="0.3">
      <c r="A4" s="8" t="s">
        <v>80</v>
      </c>
      <c r="B4" s="8" t="s">
        <v>40</v>
      </c>
      <c r="C4" s="8" t="s">
        <v>81</v>
      </c>
      <c r="D4" s="8" t="s">
        <v>19</v>
      </c>
      <c r="E4" s="8" t="s">
        <v>21</v>
      </c>
      <c r="F4" s="8"/>
      <c r="G4" s="8" t="s">
        <v>13</v>
      </c>
      <c r="H4" s="8" t="s">
        <v>92</v>
      </c>
      <c r="I4" s="9">
        <v>1359</v>
      </c>
      <c r="J4" s="9"/>
      <c r="K4" s="9">
        <v>1359</v>
      </c>
      <c r="L4" s="1" t="s">
        <v>351</v>
      </c>
    </row>
    <row r="5" spans="1:12" ht="234" x14ac:dyDescent="0.3">
      <c r="A5" s="8" t="s">
        <v>34</v>
      </c>
      <c r="B5" s="8" t="s">
        <v>17</v>
      </c>
      <c r="C5" s="8" t="s">
        <v>35</v>
      </c>
      <c r="D5" s="8" t="s">
        <v>19</v>
      </c>
      <c r="E5" s="8" t="s">
        <v>91</v>
      </c>
      <c r="F5" s="8"/>
      <c r="G5" s="8" t="s">
        <v>13</v>
      </c>
      <c r="H5" s="8" t="s">
        <v>92</v>
      </c>
      <c r="I5" s="9">
        <v>243875</v>
      </c>
      <c r="J5" s="9">
        <v>469222</v>
      </c>
      <c r="K5" s="9">
        <v>713097</v>
      </c>
      <c r="L5" s="6" t="s">
        <v>137</v>
      </c>
    </row>
    <row r="6" spans="1:12" ht="39" x14ac:dyDescent="0.3">
      <c r="A6" s="8" t="s">
        <v>48</v>
      </c>
      <c r="B6" s="8" t="s">
        <v>17</v>
      </c>
      <c r="C6" s="8" t="s">
        <v>10</v>
      </c>
      <c r="D6" s="8" t="s">
        <v>19</v>
      </c>
      <c r="E6" s="8" t="s">
        <v>93</v>
      </c>
      <c r="F6" s="8"/>
      <c r="G6" s="8" t="s">
        <v>13</v>
      </c>
      <c r="H6" s="8" t="s">
        <v>92</v>
      </c>
      <c r="I6" s="9">
        <v>0.1</v>
      </c>
      <c r="J6" s="9">
        <v>11000</v>
      </c>
      <c r="K6" s="9">
        <v>11000.1</v>
      </c>
      <c r="L6" s="10" t="s">
        <v>134</v>
      </c>
    </row>
    <row r="7" spans="1:12" x14ac:dyDescent="0.3">
      <c r="I7" s="4">
        <f>SUBTOTAL(109,Table112[Esialgne eelarve])</f>
        <v>246811.1</v>
      </c>
      <c r="J7" s="4">
        <f>SUBTOTAL(109,Table112[Muudatused])</f>
        <v>480222</v>
      </c>
      <c r="K7" s="4">
        <f>SUBTOTAL(109,Table112[Muudetud eelarve])</f>
        <v>727033.1</v>
      </c>
    </row>
    <row r="12" spans="1:12" x14ac:dyDescent="0.3">
      <c r="J12" s="17"/>
      <c r="K12" s="4"/>
    </row>
    <row r="13" spans="1:12" x14ac:dyDescent="0.3">
      <c r="J13" s="4"/>
    </row>
    <row r="17" spans="11:11" x14ac:dyDescent="0.3">
      <c r="K17" s="4"/>
    </row>
    <row r="18" spans="11:11" x14ac:dyDescent="0.3">
      <c r="K18" s="4"/>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19108-CAA0-40D9-B7E0-503E1221BB95}">
  <sheetPr>
    <tabColor rgb="FF92D050"/>
  </sheetPr>
  <dimension ref="A1:L18"/>
  <sheetViews>
    <sheetView topLeftCell="A5" workbookViewId="0">
      <selection activeCell="K2" sqref="K2"/>
    </sheetView>
  </sheetViews>
  <sheetFormatPr defaultRowHeight="13" x14ac:dyDescent="0.3"/>
  <cols>
    <col min="1" max="1" width="21.6328125" style="3" bestFit="1" customWidth="1"/>
    <col min="2" max="2" width="11.7265625" style="3" bestFit="1" customWidth="1"/>
    <col min="3" max="3" width="14.6328125" style="3" bestFit="1" customWidth="1"/>
    <col min="4" max="4" width="20.08984375" style="3" bestFit="1" customWidth="1"/>
    <col min="5" max="5" width="21.54296875" style="3" bestFit="1" customWidth="1"/>
    <col min="6" max="6" width="7.90625" style="3" bestFit="1" customWidth="1"/>
    <col min="7" max="7" width="12.26953125" style="3" bestFit="1" customWidth="1"/>
    <col min="8" max="8" width="11.6328125" style="3" bestFit="1" customWidth="1"/>
    <col min="9" max="9" width="9.1796875" style="3" bestFit="1" customWidth="1"/>
    <col min="10" max="10" width="11.90625" style="3" customWidth="1"/>
    <col min="11" max="11" width="10.26953125" style="3" customWidth="1"/>
    <col min="12" max="12" width="47.90625" style="5" customWidth="1"/>
    <col min="13" max="16384" width="8.7265625" style="3"/>
  </cols>
  <sheetData>
    <row r="1" spans="1:12" x14ac:dyDescent="0.3">
      <c r="A1" s="15" t="s">
        <v>154</v>
      </c>
      <c r="L1" s="16" t="s">
        <v>155</v>
      </c>
    </row>
    <row r="2" spans="1:12" ht="26" x14ac:dyDescent="0.3">
      <c r="A2" s="7" t="s">
        <v>0</v>
      </c>
      <c r="B2" s="7" t="s">
        <v>1</v>
      </c>
      <c r="C2" s="12" t="s">
        <v>128</v>
      </c>
      <c r="D2" s="7" t="s">
        <v>2</v>
      </c>
      <c r="E2" s="7" t="s">
        <v>3</v>
      </c>
      <c r="F2" s="7" t="s">
        <v>4</v>
      </c>
      <c r="G2" s="7" t="s">
        <v>5</v>
      </c>
      <c r="H2" s="7" t="s">
        <v>6</v>
      </c>
      <c r="I2" s="12" t="s">
        <v>114</v>
      </c>
      <c r="J2" s="7" t="s">
        <v>7</v>
      </c>
      <c r="K2" s="12" t="s">
        <v>163</v>
      </c>
      <c r="L2" s="12" t="s">
        <v>162</v>
      </c>
    </row>
    <row r="3" spans="1:12" x14ac:dyDescent="0.3">
      <c r="A3" s="8" t="s">
        <v>42</v>
      </c>
      <c r="B3" s="8" t="s">
        <v>40</v>
      </c>
      <c r="C3" s="8" t="s">
        <v>43</v>
      </c>
      <c r="D3" s="8" t="s">
        <v>19</v>
      </c>
      <c r="E3" s="8" t="s">
        <v>21</v>
      </c>
      <c r="F3" s="8"/>
      <c r="G3" s="8" t="s">
        <v>13</v>
      </c>
      <c r="H3" s="8" t="s">
        <v>102</v>
      </c>
      <c r="I3" s="9">
        <v>943</v>
      </c>
      <c r="J3" s="9"/>
      <c r="K3" s="9">
        <v>943</v>
      </c>
      <c r="L3" s="21" t="s">
        <v>147</v>
      </c>
    </row>
    <row r="4" spans="1:12" x14ac:dyDescent="0.3">
      <c r="A4" s="8" t="s">
        <v>39</v>
      </c>
      <c r="B4" s="8" t="s">
        <v>40</v>
      </c>
      <c r="C4" s="8" t="s">
        <v>41</v>
      </c>
      <c r="D4" s="8" t="s">
        <v>19</v>
      </c>
      <c r="E4" s="8" t="s">
        <v>21</v>
      </c>
      <c r="F4" s="8"/>
      <c r="G4" s="8" t="s">
        <v>13</v>
      </c>
      <c r="H4" s="8" t="s">
        <v>102</v>
      </c>
      <c r="I4" s="9">
        <v>616</v>
      </c>
      <c r="J4" s="9"/>
      <c r="K4" s="9">
        <v>616</v>
      </c>
      <c r="L4" s="21" t="s">
        <v>147</v>
      </c>
    </row>
    <row r="5" spans="1:12" ht="91" x14ac:dyDescent="0.3">
      <c r="A5" s="6" t="s">
        <v>144</v>
      </c>
      <c r="B5" s="8" t="s">
        <v>17</v>
      </c>
      <c r="C5" s="8" t="s">
        <v>43</v>
      </c>
      <c r="D5" s="8" t="s">
        <v>19</v>
      </c>
      <c r="E5" s="8" t="s">
        <v>99</v>
      </c>
      <c r="F5" s="8"/>
      <c r="G5" s="8" t="s">
        <v>13</v>
      </c>
      <c r="H5" s="8" t="s">
        <v>73</v>
      </c>
      <c r="I5" s="9">
        <v>2500</v>
      </c>
      <c r="J5" s="9">
        <v>49227</v>
      </c>
      <c r="K5" s="9">
        <v>51727</v>
      </c>
      <c r="L5" s="10" t="s">
        <v>153</v>
      </c>
    </row>
    <row r="6" spans="1:12" x14ac:dyDescent="0.3">
      <c r="A6" s="8" t="s">
        <v>145</v>
      </c>
      <c r="B6" s="8" t="s">
        <v>17</v>
      </c>
      <c r="C6" s="8" t="s">
        <v>43</v>
      </c>
      <c r="D6" s="8" t="s">
        <v>19</v>
      </c>
      <c r="E6" s="8" t="s">
        <v>96</v>
      </c>
      <c r="F6" s="8"/>
      <c r="G6" s="8" t="s">
        <v>13</v>
      </c>
      <c r="H6" s="8" t="s">
        <v>73</v>
      </c>
      <c r="I6" s="9">
        <v>4284</v>
      </c>
      <c r="J6" s="8"/>
      <c r="K6" s="9">
        <v>4284</v>
      </c>
      <c r="L6" s="10"/>
    </row>
    <row r="7" spans="1:12" ht="39" x14ac:dyDescent="0.3">
      <c r="A7" s="11" t="s">
        <v>146</v>
      </c>
      <c r="B7" s="8" t="s">
        <v>17</v>
      </c>
      <c r="C7" s="8" t="s">
        <v>43</v>
      </c>
      <c r="D7" s="8" t="s">
        <v>19</v>
      </c>
      <c r="E7" s="8" t="s">
        <v>97</v>
      </c>
      <c r="F7" s="8"/>
      <c r="G7" s="8" t="s">
        <v>13</v>
      </c>
      <c r="H7" s="8" t="s">
        <v>73</v>
      </c>
      <c r="I7" s="9">
        <v>3500.1</v>
      </c>
      <c r="J7" s="9">
        <v>1800</v>
      </c>
      <c r="K7" s="9">
        <v>5300.1</v>
      </c>
      <c r="L7" s="18" t="s">
        <v>148</v>
      </c>
    </row>
    <row r="8" spans="1:12" x14ac:dyDescent="0.3">
      <c r="A8" s="8" t="s">
        <v>140</v>
      </c>
      <c r="B8" s="8" t="s">
        <v>17</v>
      </c>
      <c r="C8" s="8" t="s">
        <v>139</v>
      </c>
      <c r="D8" s="8" t="s">
        <v>19</v>
      </c>
      <c r="E8" s="8" t="s">
        <v>98</v>
      </c>
      <c r="F8" s="8"/>
      <c r="G8" s="8" t="s">
        <v>13</v>
      </c>
      <c r="H8" s="8" t="s">
        <v>73</v>
      </c>
      <c r="I8" s="9">
        <v>6000</v>
      </c>
      <c r="J8" s="9"/>
      <c r="K8" s="9">
        <v>6000</v>
      </c>
      <c r="L8" s="1" t="s">
        <v>152</v>
      </c>
    </row>
    <row r="9" spans="1:12" x14ac:dyDescent="0.3">
      <c r="A9" s="6" t="s">
        <v>138</v>
      </c>
      <c r="B9" s="8" t="s">
        <v>17</v>
      </c>
      <c r="C9" s="8" t="s">
        <v>139</v>
      </c>
      <c r="D9" s="8" t="s">
        <v>19</v>
      </c>
      <c r="E9" s="8" t="s">
        <v>94</v>
      </c>
      <c r="F9" s="8"/>
      <c r="G9" s="8" t="s">
        <v>13</v>
      </c>
      <c r="H9" s="8" t="s">
        <v>73</v>
      </c>
      <c r="I9" s="9">
        <v>35000</v>
      </c>
      <c r="J9" s="8"/>
      <c r="K9" s="9">
        <v>35000</v>
      </c>
      <c r="L9" s="10"/>
    </row>
    <row r="10" spans="1:12" x14ac:dyDescent="0.3">
      <c r="A10" s="6" t="s">
        <v>142</v>
      </c>
      <c r="B10" s="8" t="s">
        <v>17</v>
      </c>
      <c r="C10" s="8" t="s">
        <v>43</v>
      </c>
      <c r="D10" s="8" t="s">
        <v>19</v>
      </c>
      <c r="E10" s="8" t="s">
        <v>103</v>
      </c>
      <c r="F10" s="8"/>
      <c r="G10" s="8" t="s">
        <v>13</v>
      </c>
      <c r="H10" s="8" t="s">
        <v>73</v>
      </c>
      <c r="I10" s="9">
        <v>500</v>
      </c>
      <c r="J10" s="9"/>
      <c r="K10" s="9">
        <v>500</v>
      </c>
      <c r="L10" s="1" t="s">
        <v>151</v>
      </c>
    </row>
    <row r="11" spans="1:12" x14ac:dyDescent="0.3">
      <c r="A11" s="8" t="s">
        <v>80</v>
      </c>
      <c r="B11" s="8" t="s">
        <v>17</v>
      </c>
      <c r="C11" s="8" t="s">
        <v>81</v>
      </c>
      <c r="D11" s="8" t="s">
        <v>19</v>
      </c>
      <c r="E11" s="8" t="s">
        <v>101</v>
      </c>
      <c r="F11" s="8"/>
      <c r="G11" s="8" t="s">
        <v>13</v>
      </c>
      <c r="H11" s="8" t="s">
        <v>73</v>
      </c>
      <c r="I11" s="9">
        <v>1000</v>
      </c>
      <c r="J11" s="9"/>
      <c r="K11" s="9">
        <v>1000</v>
      </c>
      <c r="L11" s="1" t="s">
        <v>150</v>
      </c>
    </row>
    <row r="12" spans="1:12" x14ac:dyDescent="0.3">
      <c r="A12" s="11" t="s">
        <v>143</v>
      </c>
      <c r="B12" s="8" t="s">
        <v>17</v>
      </c>
      <c r="C12" s="8" t="s">
        <v>139</v>
      </c>
      <c r="D12" s="8" t="s">
        <v>19</v>
      </c>
      <c r="E12" s="8" t="s">
        <v>95</v>
      </c>
      <c r="F12" s="8"/>
      <c r="G12" s="8" t="s">
        <v>13</v>
      </c>
      <c r="H12" s="8" t="s">
        <v>73</v>
      </c>
      <c r="I12" s="9">
        <v>14000</v>
      </c>
      <c r="J12" s="8"/>
      <c r="K12" s="9">
        <v>14000</v>
      </c>
      <c r="L12" s="19" t="s">
        <v>149</v>
      </c>
    </row>
    <row r="13" spans="1:12" x14ac:dyDescent="0.3">
      <c r="A13" s="8" t="s">
        <v>141</v>
      </c>
      <c r="B13" s="8" t="s">
        <v>17</v>
      </c>
      <c r="C13" s="8" t="s">
        <v>43</v>
      </c>
      <c r="D13" s="8" t="s">
        <v>19</v>
      </c>
      <c r="E13" s="8" t="s">
        <v>100</v>
      </c>
      <c r="F13" s="8"/>
      <c r="G13" s="8" t="s">
        <v>13</v>
      </c>
      <c r="H13" s="8" t="s">
        <v>73</v>
      </c>
      <c r="I13" s="9">
        <v>2500</v>
      </c>
      <c r="J13" s="9"/>
      <c r="K13" s="9">
        <v>2500</v>
      </c>
      <c r="L13" s="10"/>
    </row>
    <row r="14" spans="1:12" x14ac:dyDescent="0.3">
      <c r="A14" s="8" t="s">
        <v>48</v>
      </c>
      <c r="B14" s="8" t="s">
        <v>17</v>
      </c>
      <c r="C14" s="8" t="s">
        <v>10</v>
      </c>
      <c r="D14" s="8" t="s">
        <v>19</v>
      </c>
      <c r="E14" s="8" t="s">
        <v>104</v>
      </c>
      <c r="F14" s="8"/>
      <c r="G14" s="8" t="s">
        <v>13</v>
      </c>
      <c r="H14" s="8" t="s">
        <v>102</v>
      </c>
      <c r="I14" s="9">
        <v>0.1</v>
      </c>
      <c r="J14" s="9">
        <v>7800</v>
      </c>
      <c r="K14" s="9">
        <v>7800.1</v>
      </c>
      <c r="L14" s="20" t="s">
        <v>125</v>
      </c>
    </row>
    <row r="15" spans="1:12" x14ac:dyDescent="0.3">
      <c r="I15" s="4">
        <f>SUBTOTAL(109,Table114[Esialgne eelarve])</f>
        <v>70843.200000000012</v>
      </c>
      <c r="J15" s="4">
        <f>SUBTOTAL(109,Table114[Muudatused])</f>
        <v>58827</v>
      </c>
      <c r="K15" s="4">
        <f>SUBTOTAL(109,Table114[Muudetud eelarve])</f>
        <v>129670.20000000001</v>
      </c>
    </row>
    <row r="18" spans="9:9" x14ac:dyDescent="0.3">
      <c r="I18" s="4"/>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5AA64-AE8D-4ED5-ABF0-1F7D43A80FBF}">
  <sheetPr>
    <tabColor rgb="FF92D050"/>
  </sheetPr>
  <dimension ref="A1:L10"/>
  <sheetViews>
    <sheetView workbookViewId="0">
      <selection activeCell="L13" sqref="L13"/>
    </sheetView>
  </sheetViews>
  <sheetFormatPr defaultColWidth="9.08984375" defaultRowHeight="13" x14ac:dyDescent="0.3"/>
  <cols>
    <col min="1" max="1" width="14.90625" style="3" customWidth="1"/>
    <col min="2" max="2" width="12.1796875" style="3" bestFit="1" customWidth="1"/>
    <col min="3" max="3" width="11.08984375" style="3" customWidth="1"/>
    <col min="4" max="4" width="10.453125" style="3" customWidth="1"/>
    <col min="5" max="5" width="16.6328125" style="3" bestFit="1" customWidth="1"/>
    <col min="6" max="6" width="20" style="3" bestFit="1" customWidth="1"/>
    <col min="7" max="7" width="12.26953125" style="3" bestFit="1" customWidth="1"/>
    <col min="8" max="8" width="11.6328125" style="3" bestFit="1" customWidth="1"/>
    <col min="9" max="9" width="9.1796875" style="3" bestFit="1" customWidth="1"/>
    <col min="10" max="11" width="10.08984375" style="3" customWidth="1"/>
    <col min="12" max="12" width="40.1796875" style="5" customWidth="1"/>
    <col min="13" max="16384" width="9.08984375" style="3"/>
  </cols>
  <sheetData>
    <row r="1" spans="1:12" x14ac:dyDescent="0.3">
      <c r="A1" s="15" t="s">
        <v>158</v>
      </c>
      <c r="L1" s="16" t="s">
        <v>159</v>
      </c>
    </row>
    <row r="2" spans="1:12" ht="26" x14ac:dyDescent="0.3">
      <c r="A2" s="7" t="s">
        <v>0</v>
      </c>
      <c r="B2" s="7" t="s">
        <v>1</v>
      </c>
      <c r="C2" s="12" t="s">
        <v>128</v>
      </c>
      <c r="D2" s="12" t="s">
        <v>2</v>
      </c>
      <c r="E2" s="7" t="s">
        <v>3</v>
      </c>
      <c r="F2" s="7" t="s">
        <v>4</v>
      </c>
      <c r="G2" s="7" t="s">
        <v>5</v>
      </c>
      <c r="H2" s="7" t="s">
        <v>6</v>
      </c>
      <c r="I2" s="12" t="s">
        <v>114</v>
      </c>
      <c r="J2" s="7" t="s">
        <v>7</v>
      </c>
      <c r="K2" s="12" t="s">
        <v>163</v>
      </c>
      <c r="L2" s="12" t="s">
        <v>162</v>
      </c>
    </row>
    <row r="3" spans="1:12" x14ac:dyDescent="0.3">
      <c r="A3" s="8" t="s">
        <v>42</v>
      </c>
      <c r="B3" s="8" t="s">
        <v>40</v>
      </c>
      <c r="C3" s="8" t="s">
        <v>43</v>
      </c>
      <c r="D3" s="8" t="s">
        <v>19</v>
      </c>
      <c r="E3" s="8"/>
      <c r="F3" s="8" t="s">
        <v>21</v>
      </c>
      <c r="G3" s="8" t="s">
        <v>13</v>
      </c>
      <c r="H3" s="8" t="s">
        <v>106</v>
      </c>
      <c r="I3" s="9">
        <v>1481</v>
      </c>
      <c r="J3" s="8"/>
      <c r="K3" s="9">
        <v>1481</v>
      </c>
      <c r="L3" s="24" t="s">
        <v>124</v>
      </c>
    </row>
    <row r="4" spans="1:12" x14ac:dyDescent="0.3">
      <c r="A4" s="8" t="s">
        <v>39</v>
      </c>
      <c r="B4" s="8" t="s">
        <v>40</v>
      </c>
      <c r="C4" s="8" t="s">
        <v>41</v>
      </c>
      <c r="D4" s="8" t="s">
        <v>19</v>
      </c>
      <c r="E4" s="8"/>
      <c r="F4" s="8" t="s">
        <v>21</v>
      </c>
      <c r="G4" s="8" t="s">
        <v>13</v>
      </c>
      <c r="H4" s="8" t="s">
        <v>106</v>
      </c>
      <c r="I4" s="9">
        <v>880</v>
      </c>
      <c r="J4" s="8"/>
      <c r="K4" s="9">
        <v>880</v>
      </c>
      <c r="L4" s="24" t="s">
        <v>147</v>
      </c>
    </row>
    <row r="5" spans="1:12" x14ac:dyDescent="0.3">
      <c r="A5" s="8" t="s">
        <v>48</v>
      </c>
      <c r="B5" s="8" t="s">
        <v>17</v>
      </c>
      <c r="C5" s="8" t="s">
        <v>10</v>
      </c>
      <c r="D5" s="8" t="s">
        <v>19</v>
      </c>
      <c r="E5" s="8" t="s">
        <v>108</v>
      </c>
      <c r="F5" s="8" t="s">
        <v>21</v>
      </c>
      <c r="G5" s="8" t="s">
        <v>13</v>
      </c>
      <c r="H5" s="8" t="s">
        <v>106</v>
      </c>
      <c r="I5" s="9">
        <v>0.1</v>
      </c>
      <c r="J5" s="9">
        <v>11200</v>
      </c>
      <c r="K5" s="9">
        <v>11200.1</v>
      </c>
      <c r="L5" s="24" t="s">
        <v>125</v>
      </c>
    </row>
    <row r="6" spans="1:12" x14ac:dyDescent="0.3">
      <c r="A6" s="8" t="s">
        <v>64</v>
      </c>
      <c r="B6" s="8" t="s">
        <v>9</v>
      </c>
      <c r="C6" s="8" t="s">
        <v>51</v>
      </c>
      <c r="D6" s="8" t="s">
        <v>11</v>
      </c>
      <c r="E6" s="8"/>
      <c r="F6" s="8" t="s">
        <v>105</v>
      </c>
      <c r="G6" s="8" t="s">
        <v>63</v>
      </c>
      <c r="H6" s="8" t="s">
        <v>106</v>
      </c>
      <c r="I6" s="9">
        <v>575000</v>
      </c>
      <c r="J6" s="8"/>
      <c r="K6" s="9">
        <v>575000</v>
      </c>
      <c r="L6" s="22" t="s">
        <v>157</v>
      </c>
    </row>
    <row r="7" spans="1:12" x14ac:dyDescent="0.3">
      <c r="A7" s="8" t="s">
        <v>8</v>
      </c>
      <c r="B7" s="8" t="s">
        <v>9</v>
      </c>
      <c r="C7" s="8" t="s">
        <v>10</v>
      </c>
      <c r="D7" s="8" t="s">
        <v>11</v>
      </c>
      <c r="E7" s="8"/>
      <c r="F7" s="8" t="s">
        <v>105</v>
      </c>
      <c r="G7" s="8" t="s">
        <v>63</v>
      </c>
      <c r="H7" s="8" t="s">
        <v>106</v>
      </c>
      <c r="I7" s="9">
        <v>74750</v>
      </c>
      <c r="J7" s="8"/>
      <c r="K7" s="9">
        <v>74750</v>
      </c>
      <c r="L7" s="22" t="s">
        <v>157</v>
      </c>
    </row>
    <row r="8" spans="1:12" x14ac:dyDescent="0.3">
      <c r="A8" s="8" t="s">
        <v>34</v>
      </c>
      <c r="B8" s="8" t="s">
        <v>9</v>
      </c>
      <c r="C8" s="8" t="s">
        <v>35</v>
      </c>
      <c r="D8" s="8" t="s">
        <v>11</v>
      </c>
      <c r="E8" s="8"/>
      <c r="F8" s="8" t="s">
        <v>105</v>
      </c>
      <c r="G8" s="8" t="s">
        <v>63</v>
      </c>
      <c r="H8" s="8" t="s">
        <v>106</v>
      </c>
      <c r="I8" s="9">
        <v>24590</v>
      </c>
      <c r="J8" s="8"/>
      <c r="K8" s="9">
        <v>24590</v>
      </c>
      <c r="L8" s="22" t="s">
        <v>157</v>
      </c>
    </row>
    <row r="9" spans="1:12" ht="26" x14ac:dyDescent="0.3">
      <c r="A9" s="8" t="s">
        <v>42</v>
      </c>
      <c r="B9" s="8" t="s">
        <v>9</v>
      </c>
      <c r="C9" s="8" t="s">
        <v>43</v>
      </c>
      <c r="D9" s="8" t="s">
        <v>11</v>
      </c>
      <c r="E9" s="8"/>
      <c r="F9" s="8" t="s">
        <v>107</v>
      </c>
      <c r="G9" s="8" t="s">
        <v>13</v>
      </c>
      <c r="H9" s="8" t="s">
        <v>106</v>
      </c>
      <c r="I9" s="9">
        <v>8500</v>
      </c>
      <c r="J9" s="8">
        <v>3500</v>
      </c>
      <c r="K9" s="9">
        <v>12000</v>
      </c>
      <c r="L9" s="23" t="s">
        <v>156</v>
      </c>
    </row>
    <row r="10" spans="1:12" x14ac:dyDescent="0.3">
      <c r="I10" s="4">
        <f>SUBTOTAL(109,Table115[Esialgne eelarve])</f>
        <v>685201.1</v>
      </c>
      <c r="J10" s="4">
        <f>SUBTOTAL(109,Table115[Muudatused])</f>
        <v>14700</v>
      </c>
      <c r="K10" s="4">
        <f>SUBTOTAL(109,Table115[Muudetud eelarve])</f>
        <v>699901.1</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B77E6-D798-4015-8184-4A1E1865B4DE}">
  <sheetPr>
    <tabColor rgb="FF92D050"/>
  </sheetPr>
  <dimension ref="A1:L7"/>
  <sheetViews>
    <sheetView workbookViewId="0">
      <selection activeCell="A2" sqref="A2"/>
    </sheetView>
  </sheetViews>
  <sheetFormatPr defaultRowHeight="13" x14ac:dyDescent="0.3"/>
  <cols>
    <col min="1" max="1" width="19.36328125" style="3" bestFit="1" customWidth="1"/>
    <col min="2" max="2" width="11.7265625" style="3" bestFit="1" customWidth="1"/>
    <col min="3" max="3" width="14.6328125" style="3" bestFit="1" customWidth="1"/>
    <col min="4" max="4" width="20.08984375" style="3" bestFit="1" customWidth="1"/>
    <col min="5" max="5" width="21.26953125" style="3" bestFit="1" customWidth="1"/>
    <col min="6" max="6" width="7.90625" style="3" bestFit="1" customWidth="1"/>
    <col min="7" max="7" width="12.26953125" style="3" bestFit="1" customWidth="1"/>
    <col min="8" max="8" width="11.6328125" style="3" bestFit="1" customWidth="1"/>
    <col min="9" max="9" width="9.1796875" style="3" bestFit="1" customWidth="1"/>
    <col min="10" max="11" width="10.54296875" style="3" customWidth="1"/>
    <col min="12" max="12" width="32.54296875" style="5" customWidth="1"/>
    <col min="13" max="16384" width="8.7265625" style="3"/>
  </cols>
  <sheetData>
    <row r="1" spans="1:12" x14ac:dyDescent="0.3">
      <c r="A1" s="15" t="s">
        <v>160</v>
      </c>
      <c r="L1" s="16" t="s">
        <v>161</v>
      </c>
    </row>
    <row r="2" spans="1:12" ht="26" x14ac:dyDescent="0.3">
      <c r="A2" s="12" t="s">
        <v>0</v>
      </c>
      <c r="B2" s="12" t="s">
        <v>1</v>
      </c>
      <c r="C2" s="12" t="s">
        <v>128</v>
      </c>
      <c r="D2" s="12" t="s">
        <v>2</v>
      </c>
      <c r="E2" s="12" t="s">
        <v>3</v>
      </c>
      <c r="F2" s="12" t="s">
        <v>4</v>
      </c>
      <c r="G2" s="12" t="s">
        <v>5</v>
      </c>
      <c r="H2" s="12" t="s">
        <v>6</v>
      </c>
      <c r="I2" s="12" t="s">
        <v>114</v>
      </c>
      <c r="J2" s="12" t="s">
        <v>7</v>
      </c>
      <c r="K2" s="12" t="s">
        <v>163</v>
      </c>
      <c r="L2" s="12" t="s">
        <v>162</v>
      </c>
    </row>
    <row r="3" spans="1:12" ht="26" x14ac:dyDescent="0.3">
      <c r="A3" s="8" t="s">
        <v>80</v>
      </c>
      <c r="B3" s="8" t="s">
        <v>40</v>
      </c>
      <c r="C3" s="8" t="s">
        <v>81</v>
      </c>
      <c r="D3" s="8" t="s">
        <v>19</v>
      </c>
      <c r="E3" s="8" t="s">
        <v>21</v>
      </c>
      <c r="F3" s="8"/>
      <c r="G3" s="8" t="s">
        <v>13</v>
      </c>
      <c r="H3" s="8" t="s">
        <v>110</v>
      </c>
      <c r="I3" s="9">
        <v>812</v>
      </c>
      <c r="J3" s="8"/>
      <c r="K3" s="9">
        <v>812</v>
      </c>
      <c r="L3" s="1" t="s">
        <v>350</v>
      </c>
    </row>
    <row r="4" spans="1:12" x14ac:dyDescent="0.3">
      <c r="A4" s="8" t="s">
        <v>39</v>
      </c>
      <c r="B4" s="8" t="s">
        <v>40</v>
      </c>
      <c r="C4" s="8" t="s">
        <v>41</v>
      </c>
      <c r="D4" s="8" t="s">
        <v>19</v>
      </c>
      <c r="E4" s="8" t="s">
        <v>21</v>
      </c>
      <c r="F4" s="8"/>
      <c r="G4" s="8" t="s">
        <v>13</v>
      </c>
      <c r="H4" s="8" t="s">
        <v>110</v>
      </c>
      <c r="I4" s="9">
        <v>473</v>
      </c>
      <c r="J4" s="8"/>
      <c r="K4" s="9">
        <v>473</v>
      </c>
      <c r="L4" s="1" t="s">
        <v>351</v>
      </c>
    </row>
    <row r="5" spans="1:12" x14ac:dyDescent="0.3">
      <c r="A5" s="8" t="s">
        <v>80</v>
      </c>
      <c r="B5" s="8" t="s">
        <v>17</v>
      </c>
      <c r="C5" s="8" t="s">
        <v>81</v>
      </c>
      <c r="D5" s="8" t="s">
        <v>19</v>
      </c>
      <c r="E5" s="8" t="s">
        <v>109</v>
      </c>
      <c r="F5" s="8"/>
      <c r="G5" s="8" t="s">
        <v>13</v>
      </c>
      <c r="H5" s="8" t="s">
        <v>110</v>
      </c>
      <c r="I5" s="9">
        <v>5000</v>
      </c>
      <c r="J5" s="8"/>
      <c r="K5" s="9">
        <v>5000</v>
      </c>
      <c r="L5" s="10"/>
    </row>
    <row r="6" spans="1:12" x14ac:dyDescent="0.3">
      <c r="A6" s="8" t="s">
        <v>48</v>
      </c>
      <c r="B6" s="8" t="s">
        <v>17</v>
      </c>
      <c r="C6" s="8" t="s">
        <v>10</v>
      </c>
      <c r="D6" s="8" t="s">
        <v>19</v>
      </c>
      <c r="E6" s="8" t="s">
        <v>111</v>
      </c>
      <c r="F6" s="8"/>
      <c r="G6" s="8" t="s">
        <v>13</v>
      </c>
      <c r="H6" s="8" t="s">
        <v>110</v>
      </c>
      <c r="I6" s="9">
        <v>0.1</v>
      </c>
      <c r="J6" s="9">
        <v>6600</v>
      </c>
      <c r="K6" s="9">
        <v>6600.1</v>
      </c>
      <c r="L6" s="24" t="s">
        <v>125</v>
      </c>
    </row>
    <row r="7" spans="1:12" x14ac:dyDescent="0.3">
      <c r="I7" s="4">
        <f>SUBTOTAL(109,Table116[Esialgne eelarve])</f>
        <v>6285.1</v>
      </c>
      <c r="J7" s="4">
        <f>SUBTOTAL(109,Table116[Muudatused])</f>
        <v>6600</v>
      </c>
      <c r="K7" s="4">
        <f>SUBTOTAL(109,Table116[Muudetud eelarve])</f>
        <v>12885.1</v>
      </c>
    </row>
  </sheetData>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2AC25-C3BA-4B3A-98C3-ECED810068B1}">
  <sheetPr>
    <tabColor rgb="FF92D050"/>
  </sheetPr>
  <dimension ref="A1:L8"/>
  <sheetViews>
    <sheetView workbookViewId="0">
      <selection activeCell="A2" sqref="A2"/>
    </sheetView>
  </sheetViews>
  <sheetFormatPr defaultRowHeight="13" x14ac:dyDescent="0.3"/>
  <cols>
    <col min="1" max="1" width="19.90625" style="3" bestFit="1" customWidth="1"/>
    <col min="2" max="2" width="13.26953125" style="3" bestFit="1" customWidth="1"/>
    <col min="3" max="3" width="12.81640625" style="3" bestFit="1" customWidth="1"/>
    <col min="4" max="4" width="15.453125" style="3" bestFit="1" customWidth="1"/>
    <col min="5" max="5" width="16.90625" style="3" bestFit="1" customWidth="1"/>
    <col min="6" max="6" width="9.7265625" style="3" bestFit="1" customWidth="1"/>
    <col min="7" max="7" width="13.7265625" style="3" bestFit="1" customWidth="1"/>
    <col min="8" max="8" width="13.1796875" style="3" bestFit="1" customWidth="1"/>
    <col min="9" max="9" width="11.54296875" style="3" bestFit="1" customWidth="1"/>
    <col min="10" max="10" width="15.08984375" style="3" bestFit="1" customWidth="1"/>
    <col min="11" max="11" width="13.453125" style="3" bestFit="1" customWidth="1"/>
    <col min="12" max="12" width="43.90625" style="5" bestFit="1" customWidth="1"/>
    <col min="13" max="16384" width="8.7265625" style="3"/>
  </cols>
  <sheetData>
    <row r="1" spans="1:12" x14ac:dyDescent="0.3">
      <c r="A1" s="15" t="s">
        <v>311</v>
      </c>
      <c r="L1" s="16" t="s">
        <v>312</v>
      </c>
    </row>
    <row r="2" spans="1:12" s="25" customFormat="1" ht="26" x14ac:dyDescent="0.35">
      <c r="A2" s="27" t="s">
        <v>0</v>
      </c>
      <c r="B2" s="28" t="s">
        <v>1</v>
      </c>
      <c r="C2" s="28" t="s">
        <v>128</v>
      </c>
      <c r="D2" s="28" t="s">
        <v>2</v>
      </c>
      <c r="E2" s="28" t="s">
        <v>3</v>
      </c>
      <c r="F2" s="28" t="s">
        <v>4</v>
      </c>
      <c r="G2" s="28" t="s">
        <v>5</v>
      </c>
      <c r="H2" s="28" t="s">
        <v>6</v>
      </c>
      <c r="I2" s="28" t="s">
        <v>114</v>
      </c>
      <c r="J2" s="28" t="s">
        <v>7</v>
      </c>
      <c r="K2" s="28" t="s">
        <v>163</v>
      </c>
      <c r="L2" s="29" t="s">
        <v>162</v>
      </c>
    </row>
    <row r="3" spans="1:12" x14ac:dyDescent="0.3">
      <c r="A3" s="30" t="s">
        <v>39</v>
      </c>
      <c r="B3" s="8" t="s">
        <v>40</v>
      </c>
      <c r="C3" s="8" t="s">
        <v>41</v>
      </c>
      <c r="D3" s="8" t="s">
        <v>19</v>
      </c>
      <c r="E3" s="8"/>
      <c r="F3" s="8"/>
      <c r="G3" s="8" t="s">
        <v>13</v>
      </c>
      <c r="H3" s="8" t="s">
        <v>164</v>
      </c>
      <c r="I3" s="9">
        <v>704</v>
      </c>
      <c r="J3" s="8"/>
      <c r="K3" s="9">
        <v>704</v>
      </c>
      <c r="L3" s="24" t="s">
        <v>124</v>
      </c>
    </row>
    <row r="4" spans="1:12" x14ac:dyDescent="0.3">
      <c r="A4" s="30" t="s">
        <v>42</v>
      </c>
      <c r="B4" s="8" t="s">
        <v>40</v>
      </c>
      <c r="C4" s="8" t="s">
        <v>43</v>
      </c>
      <c r="D4" s="8" t="s">
        <v>19</v>
      </c>
      <c r="E4" s="8"/>
      <c r="F4" s="8"/>
      <c r="G4" s="8" t="s">
        <v>13</v>
      </c>
      <c r="H4" s="8" t="s">
        <v>164</v>
      </c>
      <c r="I4" s="9">
        <v>1212</v>
      </c>
      <c r="J4" s="8"/>
      <c r="K4" s="9">
        <v>1212</v>
      </c>
      <c r="L4" s="24" t="s">
        <v>147</v>
      </c>
    </row>
    <row r="5" spans="1:12" ht="39" x14ac:dyDescent="0.3">
      <c r="A5" s="30" t="s">
        <v>305</v>
      </c>
      <c r="B5" s="8" t="s">
        <v>17</v>
      </c>
      <c r="C5" s="35" t="s">
        <v>306</v>
      </c>
      <c r="D5" s="35" t="s">
        <v>19</v>
      </c>
      <c r="E5" s="35" t="s">
        <v>165</v>
      </c>
      <c r="F5" s="35"/>
      <c r="G5" s="35" t="s">
        <v>13</v>
      </c>
      <c r="H5" s="35" t="s">
        <v>164</v>
      </c>
      <c r="I5" s="36">
        <v>0.1</v>
      </c>
      <c r="J5" s="36">
        <v>2100</v>
      </c>
      <c r="K5" s="36">
        <v>2100.1</v>
      </c>
      <c r="L5" s="21" t="s">
        <v>341</v>
      </c>
    </row>
    <row r="6" spans="1:12" x14ac:dyDescent="0.3">
      <c r="A6" s="30" t="s">
        <v>48</v>
      </c>
      <c r="B6" s="8" t="s">
        <v>17</v>
      </c>
      <c r="C6" s="8" t="s">
        <v>10</v>
      </c>
      <c r="D6" s="8" t="s">
        <v>19</v>
      </c>
      <c r="E6" s="8" t="s">
        <v>168</v>
      </c>
      <c r="F6" s="8"/>
      <c r="G6" s="8" t="s">
        <v>13</v>
      </c>
      <c r="H6" s="8" t="s">
        <v>164</v>
      </c>
      <c r="I6" s="9">
        <v>0.1</v>
      </c>
      <c r="J6" s="9">
        <v>9300</v>
      </c>
      <c r="K6" s="9">
        <v>9300.1</v>
      </c>
      <c r="L6" s="24" t="s">
        <v>125</v>
      </c>
    </row>
    <row r="7" spans="1:12" ht="65" x14ac:dyDescent="0.3">
      <c r="A7" s="30" t="s">
        <v>305</v>
      </c>
      <c r="B7" s="8" t="s">
        <v>17</v>
      </c>
      <c r="C7" s="35" t="s">
        <v>306</v>
      </c>
      <c r="D7" s="35" t="s">
        <v>66</v>
      </c>
      <c r="E7" s="35" t="s">
        <v>166</v>
      </c>
      <c r="F7" s="35"/>
      <c r="G7" s="35" t="s">
        <v>13</v>
      </c>
      <c r="H7" s="35" t="s">
        <v>164</v>
      </c>
      <c r="I7" s="36">
        <v>0.1</v>
      </c>
      <c r="J7" s="36">
        <v>35000</v>
      </c>
      <c r="K7" s="36">
        <v>35000</v>
      </c>
      <c r="L7" s="37" t="s">
        <v>342</v>
      </c>
    </row>
    <row r="8" spans="1:12" x14ac:dyDescent="0.3">
      <c r="A8" s="31"/>
      <c r="B8" s="32"/>
      <c r="C8" s="32"/>
      <c r="D8" s="32"/>
      <c r="E8" s="32"/>
      <c r="F8" s="32"/>
      <c r="G8" s="32"/>
      <c r="H8" s="32"/>
      <c r="I8" s="9">
        <f>SUBTOTAL(109,Table14[Esialgne eelarve])</f>
        <v>1916.2999999999997</v>
      </c>
      <c r="J8" s="9">
        <f>SUBTOTAL(109,Table14[Muudatused])</f>
        <v>46400</v>
      </c>
      <c r="K8" s="9">
        <f>SUBTOTAL(109,Table14[Muudetud eelarve])</f>
        <v>48316.2</v>
      </c>
      <c r="L8" s="34"/>
    </row>
  </sheetData>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0BE52B-2C10-4123-A68F-2CB4848B8634}">
  <sheetPr>
    <tabColor rgb="FF92D050"/>
  </sheetPr>
  <dimension ref="A1:L13"/>
  <sheetViews>
    <sheetView workbookViewId="0">
      <selection activeCell="A2" sqref="A2"/>
    </sheetView>
  </sheetViews>
  <sheetFormatPr defaultRowHeight="13" x14ac:dyDescent="0.3"/>
  <cols>
    <col min="1" max="1" width="19.90625" style="3" bestFit="1" customWidth="1"/>
    <col min="2" max="2" width="13.26953125" style="3" bestFit="1" customWidth="1"/>
    <col min="3" max="3" width="12.81640625" style="3" bestFit="1" customWidth="1"/>
    <col min="4" max="4" width="10.90625" style="3" bestFit="1" customWidth="1"/>
    <col min="5" max="5" width="19.6328125" style="3" bestFit="1" customWidth="1"/>
    <col min="6" max="6" width="9.7265625" style="3" bestFit="1" customWidth="1"/>
    <col min="7" max="7" width="12.81640625" style="3" bestFit="1" customWidth="1"/>
    <col min="8" max="8" width="13.1796875" style="3" bestFit="1" customWidth="1"/>
    <col min="9" max="9" width="11.54296875" style="3" bestFit="1" customWidth="1"/>
    <col min="10" max="10" width="13.1796875" style="3" bestFit="1" customWidth="1"/>
    <col min="11" max="11" width="12.453125" style="3" bestFit="1" customWidth="1"/>
    <col min="12" max="12" width="68.81640625" style="13" bestFit="1" customWidth="1"/>
    <col min="13" max="16384" width="8.7265625" style="3"/>
  </cols>
  <sheetData>
    <row r="1" spans="1:12" x14ac:dyDescent="0.3">
      <c r="A1" s="15" t="s">
        <v>313</v>
      </c>
      <c r="L1" s="14" t="s">
        <v>314</v>
      </c>
    </row>
    <row r="2" spans="1:12" s="25" customFormat="1" ht="39" x14ac:dyDescent="0.35">
      <c r="A2" s="12" t="s">
        <v>0</v>
      </c>
      <c r="B2" s="12" t="s">
        <v>1</v>
      </c>
      <c r="C2" s="12" t="s">
        <v>128</v>
      </c>
      <c r="D2" s="12" t="s">
        <v>2</v>
      </c>
      <c r="E2" s="12" t="s">
        <v>3</v>
      </c>
      <c r="F2" s="12" t="s">
        <v>4</v>
      </c>
      <c r="G2" s="12" t="s">
        <v>5</v>
      </c>
      <c r="H2" s="12" t="s">
        <v>6</v>
      </c>
      <c r="I2" s="12" t="s">
        <v>114</v>
      </c>
      <c r="J2" s="12" t="s">
        <v>7</v>
      </c>
      <c r="K2" s="12" t="s">
        <v>163</v>
      </c>
      <c r="L2" s="12" t="s">
        <v>162</v>
      </c>
    </row>
    <row r="3" spans="1:12" x14ac:dyDescent="0.3">
      <c r="A3" s="8" t="s">
        <v>39</v>
      </c>
      <c r="B3" s="8" t="s">
        <v>40</v>
      </c>
      <c r="C3" s="8" t="s">
        <v>41</v>
      </c>
      <c r="D3" s="8" t="s">
        <v>19</v>
      </c>
      <c r="E3" s="8"/>
      <c r="F3" s="8"/>
      <c r="G3" s="8" t="s">
        <v>13</v>
      </c>
      <c r="H3" s="8" t="s">
        <v>176</v>
      </c>
      <c r="I3" s="9">
        <v>528</v>
      </c>
      <c r="J3" s="8"/>
      <c r="K3" s="9">
        <v>528</v>
      </c>
      <c r="L3" s="24" t="s">
        <v>124</v>
      </c>
    </row>
    <row r="4" spans="1:12" x14ac:dyDescent="0.3">
      <c r="A4" s="8" t="s">
        <v>42</v>
      </c>
      <c r="B4" s="8" t="s">
        <v>40</v>
      </c>
      <c r="C4" s="8" t="s">
        <v>43</v>
      </c>
      <c r="D4" s="8" t="s">
        <v>19</v>
      </c>
      <c r="E4" s="8"/>
      <c r="F4" s="8"/>
      <c r="G4" s="8" t="s">
        <v>13</v>
      </c>
      <c r="H4" s="8" t="s">
        <v>176</v>
      </c>
      <c r="I4" s="9">
        <v>943</v>
      </c>
      <c r="J4" s="8"/>
      <c r="K4" s="9">
        <v>943</v>
      </c>
      <c r="L4" s="24" t="s">
        <v>147</v>
      </c>
    </row>
    <row r="5" spans="1:12" x14ac:dyDescent="0.3">
      <c r="A5" s="8" t="s">
        <v>305</v>
      </c>
      <c r="B5" s="8" t="s">
        <v>17</v>
      </c>
      <c r="C5" s="8" t="s">
        <v>306</v>
      </c>
      <c r="D5" s="8" t="s">
        <v>19</v>
      </c>
      <c r="E5" s="35" t="s">
        <v>180</v>
      </c>
      <c r="F5" s="35"/>
      <c r="G5" s="35" t="s">
        <v>13</v>
      </c>
      <c r="H5" s="35" t="s">
        <v>177</v>
      </c>
      <c r="I5" s="36">
        <v>9300</v>
      </c>
      <c r="J5" s="35"/>
      <c r="K5" s="36">
        <v>9300</v>
      </c>
      <c r="L5" s="48" t="s">
        <v>344</v>
      </c>
    </row>
    <row r="6" spans="1:12" x14ac:dyDescent="0.3">
      <c r="A6" s="8" t="s">
        <v>34</v>
      </c>
      <c r="B6" s="8" t="s">
        <v>17</v>
      </c>
      <c r="C6" s="8" t="s">
        <v>35</v>
      </c>
      <c r="D6" s="8" t="s">
        <v>19</v>
      </c>
      <c r="E6" s="8" t="s">
        <v>181</v>
      </c>
      <c r="F6" s="8"/>
      <c r="G6" s="8" t="s">
        <v>13</v>
      </c>
      <c r="H6" s="8" t="s">
        <v>177</v>
      </c>
      <c r="I6" s="9">
        <v>427</v>
      </c>
      <c r="J6" s="8"/>
      <c r="K6" s="9">
        <v>427</v>
      </c>
      <c r="L6" s="11" t="s">
        <v>21</v>
      </c>
    </row>
    <row r="7" spans="1:12" x14ac:dyDescent="0.3">
      <c r="A7" s="8" t="s">
        <v>305</v>
      </c>
      <c r="B7" s="8" t="s">
        <v>17</v>
      </c>
      <c r="C7" s="8" t="s">
        <v>306</v>
      </c>
      <c r="D7" s="8" t="s">
        <v>19</v>
      </c>
      <c r="E7" s="35" t="s">
        <v>307</v>
      </c>
      <c r="F7" s="35"/>
      <c r="G7" s="35" t="s">
        <v>13</v>
      </c>
      <c r="H7" s="35" t="s">
        <v>177</v>
      </c>
      <c r="I7" s="36">
        <v>79828</v>
      </c>
      <c r="J7" s="35"/>
      <c r="K7" s="36">
        <v>79828</v>
      </c>
      <c r="L7" s="11" t="s">
        <v>21</v>
      </c>
    </row>
    <row r="8" spans="1:12" x14ac:dyDescent="0.3">
      <c r="A8" s="8" t="s">
        <v>183</v>
      </c>
      <c r="B8" s="8" t="s">
        <v>17</v>
      </c>
      <c r="C8" s="8" t="s">
        <v>184</v>
      </c>
      <c r="D8" s="8" t="s">
        <v>19</v>
      </c>
      <c r="E8" s="35" t="s">
        <v>308</v>
      </c>
      <c r="F8" s="35"/>
      <c r="G8" s="35" t="s">
        <v>13</v>
      </c>
      <c r="H8" s="35" t="s">
        <v>177</v>
      </c>
      <c r="I8" s="36">
        <v>11818</v>
      </c>
      <c r="J8" s="35">
        <v>-2787</v>
      </c>
      <c r="K8" s="36">
        <v>9031</v>
      </c>
      <c r="L8" s="47" t="s">
        <v>343</v>
      </c>
    </row>
    <row r="9" spans="1:12" x14ac:dyDescent="0.3">
      <c r="A9" s="8" t="s">
        <v>48</v>
      </c>
      <c r="B9" s="8" t="s">
        <v>17</v>
      </c>
      <c r="C9" s="8" t="s">
        <v>10</v>
      </c>
      <c r="D9" s="8" t="s">
        <v>19</v>
      </c>
      <c r="E9" s="8" t="s">
        <v>187</v>
      </c>
      <c r="F9" s="8"/>
      <c r="G9" s="8" t="s">
        <v>13</v>
      </c>
      <c r="H9" s="8" t="s">
        <v>176</v>
      </c>
      <c r="I9" s="9">
        <v>0.1</v>
      </c>
      <c r="J9" s="9">
        <v>7150</v>
      </c>
      <c r="K9" s="9">
        <v>7150.1</v>
      </c>
      <c r="L9" s="24" t="s">
        <v>125</v>
      </c>
    </row>
    <row r="10" spans="1:12" x14ac:dyDescent="0.3">
      <c r="A10" s="8" t="s">
        <v>305</v>
      </c>
      <c r="B10" s="8" t="s">
        <v>17</v>
      </c>
      <c r="C10" s="8" t="s">
        <v>306</v>
      </c>
      <c r="D10" s="8" t="s">
        <v>19</v>
      </c>
      <c r="E10" s="35" t="s">
        <v>178</v>
      </c>
      <c r="F10" s="35"/>
      <c r="G10" s="35" t="s">
        <v>13</v>
      </c>
      <c r="H10" s="35" t="s">
        <v>177</v>
      </c>
      <c r="I10" s="36">
        <v>3683</v>
      </c>
      <c r="J10" s="35"/>
      <c r="K10" s="36">
        <v>3683</v>
      </c>
      <c r="L10" s="11" t="s">
        <v>21</v>
      </c>
    </row>
    <row r="11" spans="1:12" x14ac:dyDescent="0.3">
      <c r="A11" s="8" t="s">
        <v>185</v>
      </c>
      <c r="B11" s="8" t="s">
        <v>17</v>
      </c>
      <c r="C11" s="8" t="s">
        <v>186</v>
      </c>
      <c r="D11" s="8" t="s">
        <v>19</v>
      </c>
      <c r="E11" s="35" t="s">
        <v>182</v>
      </c>
      <c r="F11" s="35"/>
      <c r="G11" s="35" t="s">
        <v>13</v>
      </c>
      <c r="H11" s="35" t="s">
        <v>177</v>
      </c>
      <c r="I11" s="36">
        <v>48000</v>
      </c>
      <c r="J11" s="36"/>
      <c r="K11" s="36">
        <v>48000</v>
      </c>
      <c r="L11" s="47" t="s">
        <v>345</v>
      </c>
    </row>
    <row r="12" spans="1:12" x14ac:dyDescent="0.3">
      <c r="A12" s="8" t="s">
        <v>305</v>
      </c>
      <c r="B12" s="8" t="s">
        <v>17</v>
      </c>
      <c r="C12" s="8" t="s">
        <v>306</v>
      </c>
      <c r="D12" s="8" t="s">
        <v>19</v>
      </c>
      <c r="E12" s="35" t="s">
        <v>179</v>
      </c>
      <c r="F12" s="35"/>
      <c r="G12" s="35" t="s">
        <v>13</v>
      </c>
      <c r="H12" s="35" t="s">
        <v>177</v>
      </c>
      <c r="I12" s="36">
        <v>14317</v>
      </c>
      <c r="J12" s="35"/>
      <c r="K12" s="36">
        <v>14317</v>
      </c>
      <c r="L12" s="11" t="s">
        <v>21</v>
      </c>
    </row>
    <row r="13" spans="1:12" x14ac:dyDescent="0.3">
      <c r="I13" s="4">
        <f>SUBTOTAL(109,Table19[Esialgne eelarve])</f>
        <v>168844.1</v>
      </c>
      <c r="J13" s="4">
        <f>SUBTOTAL(109,Table19[Muudatused])</f>
        <v>4363</v>
      </c>
      <c r="K13" s="4">
        <f>SUBTOTAL(109,Table19[Muudetud eelarve])</f>
        <v>173207.1</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22</vt:i4>
      </vt:variant>
    </vt:vector>
  </HeadingPairs>
  <TitlesOfParts>
    <vt:vector size="22" baseType="lpstr">
      <vt:lpstr>DTO</vt:lpstr>
      <vt:lpstr>EKO</vt:lpstr>
      <vt:lpstr>ELVO</vt:lpstr>
      <vt:lpstr>kantsler</vt:lpstr>
      <vt:lpstr>KO</vt:lpstr>
      <vt:lpstr>KSO</vt:lpstr>
      <vt:lpstr>KEA</vt:lpstr>
      <vt:lpstr>KVO</vt:lpstr>
      <vt:lpstr>PO</vt:lpstr>
      <vt:lpstr>PRO</vt:lpstr>
      <vt:lpstr>RHO</vt:lpstr>
      <vt:lpstr>RTO</vt:lpstr>
      <vt:lpstr>SAO</vt:lpstr>
      <vt:lpstr>SAK</vt:lpstr>
      <vt:lpstr>SJO</vt:lpstr>
      <vt:lpstr>SM</vt:lpstr>
      <vt:lpstr>STAO</vt:lpstr>
      <vt:lpstr>UKO</vt:lpstr>
      <vt:lpstr>VAK</vt:lpstr>
      <vt:lpstr>VHO</vt:lpstr>
      <vt:lpstr>VVO</vt:lpstr>
      <vt:lpstr>ÕO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Power BI</dc:creator>
  <cp:lastModifiedBy>Maia Podhodjaštševa</cp:lastModifiedBy>
  <dcterms:created xsi:type="dcterms:W3CDTF">2016-07-06T08:22:49Z</dcterms:created>
  <dcterms:modified xsi:type="dcterms:W3CDTF">2025-09-09T14:25:50Z</dcterms:modified>
</cp:coreProperties>
</file>